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>
    <definedName name="_xlnm._FilterDatabase" localSheetId="1" hidden="1">'Inputs'!$B$5:$M$35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0.0%;[Red]-0.0%"/>
    <numFmt numFmtId="165" formatCode="&quot;AED&quot; #,##0;[Red]&quot;AED&quot; -#,##0"/>
    <numFmt numFmtId="166" formatCode="#,##0;[Red]-#,##0"/>
    <numFmt numFmtId="167" formatCode="0.00&quot;x&quot;"/>
    <numFmt numFmtId="168" formatCode="0.0"/>
    <numFmt numFmtId="169" formatCode="0.0&quot;×&quot;"/>
  </numFmts>
  <fonts count="16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3" fontId="15" fillId="3" borderId="0" applyAlignment="1" pivotButton="0" quotePrefix="0" xfId="0">
      <alignment horizontal="left" vertical="center" indent="1"/>
    </xf>
    <xf numFmtId="165" fontId="15" fillId="3" borderId="0" applyAlignment="1" pivotButton="0" quotePrefix="0" xfId="0">
      <alignment horizontal="left" vertical="center" indent="1"/>
    </xf>
    <xf numFmtId="167" fontId="15" fillId="3" borderId="0" applyAlignment="1" pivotButton="0" quotePrefix="0" xfId="0">
      <alignment horizontal="left" vertical="center" indent="1"/>
    </xf>
    <xf numFmtId="164" fontId="15" fillId="3" borderId="0" applyAlignment="1" pivotButton="0" quotePrefix="0" xfId="0">
      <alignment horizontal="left" vertical="center" indent="1"/>
    </xf>
    <xf numFmtId="168" fontId="15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166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65" fontId="8" fillId="6" borderId="2" pivotButton="0" quotePrefix="0" xfId="0"/>
    <xf numFmtId="166" fontId="8" fillId="6" borderId="2" pivotButton="0" quotePrefix="0" xfId="0"/>
    <xf numFmtId="0" fontId="0" fillId="0" borderId="2" pivotButton="0" quotePrefix="0" xfId="0"/>
    <xf numFmtId="165" fontId="0" fillId="0" borderId="2" pivotButton="0" quotePrefix="0" xfId="0"/>
    <xf numFmtId="166" fontId="0" fillId="0" borderId="2" pivotButton="0" quotePrefix="0" xfId="0"/>
    <xf numFmtId="167" fontId="0" fillId="0" borderId="2" pivotButton="0" quotePrefix="0" xfId="0"/>
    <xf numFmtId="10" fontId="0" fillId="0" borderId="2" pivotButton="0" quotePrefix="0" xfId="0"/>
    <xf numFmtId="168" fontId="0" fillId="0" borderId="2" pivotButton="0" quotePrefix="0" xfId="0"/>
    <xf numFmtId="164" fontId="0" fillId="0" borderId="2" pivotButton="0" quotePrefix="0" xfId="0"/>
    <xf numFmtId="0" fontId="3" fillId="0" borderId="2" pivotButton="0" quotePrefix="0" xfId="0"/>
    <xf numFmtId="2" fontId="0" fillId="0" borderId="2" pivotButton="0" quotePrefix="0" xfId="0"/>
    <xf numFmtId="169" fontId="7" fillId="2" borderId="1" applyAlignment="1" pivotButton="0" quotePrefix="0" xfId="0">
      <alignment horizontal="left" vertical="center" wrapText="1" indent="1"/>
    </xf>
    <xf numFmtId="164" fontId="3" fillId="0" borderId="2" pivotButton="0" quotePrefix="0" xfId="0"/>
    <xf numFmtId="0" fontId="0" fillId="0" borderId="2" applyAlignment="1" pivotButton="0" quotePrefix="0" xfId="0">
      <alignment horizontal="left" vertical="center" wrapText="1" indent="1"/>
    </xf>
    <xf numFmtId="166" fontId="0" fillId="0" borderId="2" applyAlignment="1" pivotButton="0" quotePrefix="0" xfId="0">
      <alignment horizontal="left" vertical="center" wrapText="1" indent="1"/>
    </xf>
    <xf numFmtId="165" fontId="0" fillId="0" borderId="2" applyAlignment="1" pivotButton="0" quotePrefix="0" xfId="0">
      <alignment horizontal="left" vertical="center" wrapText="1" indent="1"/>
    </xf>
    <xf numFmtId="167" fontId="0" fillId="0" borderId="2" applyAlignment="1" pivotButton="0" quotePrefix="0" xfId="0">
      <alignment horizontal="left" vertical="center" wrapText="1" indent="1"/>
    </xf>
    <xf numFmtId="164" fontId="0" fillId="0" borderId="2" applyAlignment="1" pivotButton="0" quotePrefix="0" xfId="0">
      <alignment horizontal="left" vertical="center" wrapText="1" indent="1"/>
    </xf>
    <xf numFmtId="168" fontId="0" fillId="0" borderId="2" applyAlignment="1" pivotButton="0" quotePrefix="0" xfId="0">
      <alignment horizontal="left" vertical="center" wrapText="1" indent="1"/>
    </xf>
    <xf numFmtId="1" fontId="0" fillId="0" borderId="2" applyAlignment="1" pivotButton="0" quotePrefix="0" xfId="0">
      <alignment horizontal="left" vertical="center" wrapText="1" indent="1"/>
    </xf>
    <xf numFmtId="0" fontId="3" fillId="0" borderId="0" pivotButton="0" quotePrefix="0" xfId="0"/>
    <xf numFmtId="164" fontId="0" fillId="0" borderId="0" pivotButton="0" quotePrefix="0" xfId="0"/>
    <xf numFmtId="164" fontId="8" fillId="6" borderId="2" pivotButton="0" quotePrefix="0" xfId="0"/>
    <xf numFmtId="2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1" fontId="8" fillId="6" borderId="2" pivotButton="0" quotePrefix="0" xfId="0"/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'Calc'!F39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'Calc'!$B$40:$B$51</f>
            </numRef>
          </cat>
          <val>
            <numRef>
              <f>'Calc'!$F$40:$F$51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0.00&quot;x&quot;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'Calc'!M5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'Calc'!$B$6:$B$35</f>
            </numRef>
          </cat>
          <val>
            <numRef>
              <f>'Calc'!$M$6:$M$35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0.0%;[Red]-0.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33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Marketing ROI Dashboard</t>
        </is>
      </c>
    </row>
    <row r="2" ht="18" customHeight="1">
      <c r="A2" s="2" t="inlineStr">
        <is>
          <t>Per-campaign CAC · ROAS · payback · contribution ROI · LTV/CAC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HEADLINE KPIS</t>
        </is>
      </c>
    </row>
    <row r="5" ht="16" customHeight="1">
      <c r="A5" s="5" t="inlineStr">
        <is>
          <t>CAMPAIGNS MEASURED</t>
        </is>
      </c>
      <c r="E5" s="5" t="inlineStr">
        <is>
          <t>TOTAL SPEND</t>
        </is>
      </c>
      <c r="I5" s="5" t="inlineStr">
        <is>
          <t>TOTAL REVENUE</t>
        </is>
      </c>
      <c r="M5" s="5" t="inlineStr">
        <is>
          <t>BLENDED ROAS</t>
        </is>
      </c>
    </row>
    <row r="6" ht="28" customHeight="1">
      <c r="A6" s="6">
        <f>COUNTA(Inputs!B6:B35)</f>
        <v/>
      </c>
      <c r="E6" s="7">
        <f>SUM(Inputs!F6:F35)</f>
        <v/>
      </c>
      <c r="I6" s="7">
        <f>SUM(Calc!E6:E35)</f>
        <v/>
      </c>
      <c r="M6" s="8">
        <f>IFERROR(SUM(Calc!E6:E35)/SUM(Inputs!F6:F35),0)</f>
        <v/>
      </c>
    </row>
    <row r="7" ht="10" customHeight="1">
      <c r="A7" s="3" t="n"/>
      <c r="B7" s="3" t="n"/>
      <c r="C7" s="3" t="n"/>
      <c r="E7" s="3" t="n"/>
      <c r="F7" s="3" t="n"/>
      <c r="G7" s="3" t="n"/>
      <c r="I7" s="3" t="n"/>
      <c r="J7" s="3" t="n"/>
      <c r="K7" s="3" t="n"/>
      <c r="M7" s="3" t="n"/>
      <c r="N7" s="3" t="n"/>
      <c r="O7" s="3" t="n"/>
    </row>
    <row r="8" ht="16" customHeight="1">
      <c r="A8" s="5" t="inlineStr">
        <is>
          <t>BLENDED CAC</t>
        </is>
      </c>
      <c r="E8" s="5" t="inlineStr">
        <is>
          <t>CONTRIBUTION-MARGIN ROI</t>
        </is>
      </c>
      <c r="I8" s="5" t="inlineStr">
        <is>
          <t>AVG PAYBACK (DAYS)</t>
        </is>
      </c>
      <c r="M8" s="5" t="inlineStr">
        <is>
          <t>LTV / CAC</t>
        </is>
      </c>
    </row>
    <row r="9" ht="28" customHeight="1">
      <c r="A9" s="7">
        <f>IFERROR(SUM(Inputs!F6:F35)/(SUM(Inputs!I6:I35)*Assumptions!$C$10),0)</f>
        <v/>
      </c>
      <c r="E9" s="9">
        <f>IFERROR((SUM(Calc!E6:E35)*Assumptions!$C$6-SUM(Inputs!F6:F35))/SUM(Inputs!F6:F35),0)</f>
        <v/>
      </c>
      <c r="I9" s="10">
        <f>IFERROR(AVERAGE(Calc!L6:L35),0)</f>
        <v/>
      </c>
      <c r="M9" s="8">
        <f>Calc!C62</f>
        <v/>
      </c>
    </row>
    <row r="10" ht="10" customHeight="1">
      <c r="A10" s="3" t="n"/>
      <c r="B10" s="3" t="n"/>
      <c r="C10" s="3" t="n"/>
      <c r="E10" s="3" t="n"/>
      <c r="F10" s="3" t="n"/>
      <c r="G10" s="3" t="n"/>
      <c r="I10" s="3" t="n"/>
      <c r="J10" s="3" t="n"/>
      <c r="K10" s="3" t="n"/>
      <c r="M10" s="3" t="n"/>
      <c r="N10" s="3" t="n"/>
      <c r="O10" s="3" t="n"/>
    </row>
    <row r="12" ht="22" customHeight="1">
      <c r="A12" s="4" t="inlineStr">
        <is>
          <t>CHANNEL ROAS</t>
        </is>
      </c>
    </row>
    <row r="33" ht="22" customHeight="1">
      <c r="A33" s="4" t="inlineStr">
        <is>
          <t>CAMPAIGN CONTRIBUTION ROI (RANKED)</t>
        </is>
      </c>
    </row>
    <row r="54" ht="22" customHeight="1">
      <c r="A54" s="4" t="inlineStr">
        <is>
          <t>MANAGEMENT CALL-OUTS</t>
        </is>
      </c>
    </row>
    <row r="55" ht="30" customHeight="1">
      <c r="B55" s="11" t="inlineStr">
        <is>
          <t>Are we earning back what we spend?</t>
        </is>
      </c>
      <c r="C55" s="12">
        <f>IF(IFERROR((SUM(Calc!E6:E35)*Assumptions!$C$6-SUM(Inputs!F6:F35))/SUM(Inputs!F6:F35),0)&gt;=Assumptions!$C$9,"Contribution-margin ROI clears the floor — keep deploying.","Contribution-margin ROI is below floor — cut weakest campaigns first.")</f>
        <v/>
      </c>
    </row>
    <row r="56" ht="30" customHeight="1">
      <c r="B56" s="11" t="inlineStr">
        <is>
          <t>Is acquisition sustainable?</t>
        </is>
      </c>
      <c r="C56" s="12">
        <f>IF(IFERROR(SUM(Inputs!F6:F35)/(SUM(Inputs!I6:I35)*Assumptions!$C$10),0)&lt;=Assumptions!$C$8,"Blended CAC is within the ceiling.","Blended CAC is above the ceiling — fix creative and conversion rate first, then channel mix.")</f>
        <v/>
      </c>
    </row>
    <row r="57" ht="30" customHeight="1">
      <c r="B57" s="11" t="inlineStr">
        <is>
          <t>Is the unit economics gap real?</t>
        </is>
      </c>
      <c r="C57" s="12">
        <f>IF(Calc!C62&gt;=Assumptions!$C$13,"LTV/CAC clears target — there is room to invest harder.","LTV/CAC below target — focus on retention and AOV before scaling spend.")</f>
        <v/>
      </c>
    </row>
    <row r="58" ht="30" customHeight="1">
      <c r="B58" s="11" t="inlineStr">
        <is>
          <t>Where to deploy the next unit of spend?</t>
        </is>
      </c>
      <c r="C58" s="12">
        <f>IFERROR("Top channel by ROAS: "&amp;INDEX(Calc!B40:B51,MATCH(MAX(Calc!F40:F51),Calc!F40:F51,0))&amp;"  ·  weakest by contribution: "&amp;INDEX(Calc!B6:B35,MATCH(MIN(Calc!M6:M35),Calc!M6:M35,0)),"")</f>
        <v/>
      </c>
    </row>
  </sheetData>
  <mergeCells count="26">
    <mergeCell ref="C55:N55"/>
    <mergeCell ref="E9:G9"/>
    <mergeCell ref="C56:N56"/>
    <mergeCell ref="M6:O6"/>
    <mergeCell ref="E6:G6"/>
    <mergeCell ref="A1:N1"/>
    <mergeCell ref="A5:C5"/>
    <mergeCell ref="I5:K5"/>
    <mergeCell ref="A8:C8"/>
    <mergeCell ref="A54:N54"/>
    <mergeCell ref="I8:K8"/>
    <mergeCell ref="M8:O8"/>
    <mergeCell ref="A12:N12"/>
    <mergeCell ref="C57:N57"/>
    <mergeCell ref="A2:N2"/>
    <mergeCell ref="I9:K9"/>
    <mergeCell ref="A9:C9"/>
    <mergeCell ref="A33:N33"/>
    <mergeCell ref="I6:K6"/>
    <mergeCell ref="A4:N4"/>
    <mergeCell ref="E5:G5"/>
    <mergeCell ref="M9:O9"/>
    <mergeCell ref="C58:N58"/>
    <mergeCell ref="A6:C6"/>
    <mergeCell ref="M5:O5"/>
    <mergeCell ref="E8:G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3" t="inlineStr">
        <is>
          <t>Field</t>
        </is>
      </c>
      <c r="C5" s="13" t="inlineStr">
        <is>
          <t>Value</t>
        </is>
      </c>
    </row>
    <row r="6" ht="20" customHeight="1">
      <c r="B6" s="27" t="inlineStr">
        <is>
          <t>Workbook</t>
        </is>
      </c>
      <c r="C6" s="20" t="inlineStr">
        <is>
          <t>Marketing ROI Calculator</t>
        </is>
      </c>
    </row>
    <row r="7" ht="20" customHeight="1">
      <c r="B7" s="27" t="inlineStr">
        <is>
          <t>Prepared by</t>
        </is>
      </c>
      <c r="C7" s="20" t="inlineStr">
        <is>
          <t>Ashmo · Restaurant Growth Toolkit</t>
        </is>
      </c>
    </row>
    <row r="8" ht="20" customHeight="1">
      <c r="B8" s="27" t="inlineStr">
        <is>
          <t>Owner (accountable)</t>
        </is>
      </c>
      <c r="C8" s="20" t="inlineStr">
        <is>
          <t>Marketing Lead</t>
        </is>
      </c>
    </row>
    <row r="9" ht="20" customHeight="1">
      <c r="B9" s="27" t="inlineStr">
        <is>
          <t>Version</t>
        </is>
      </c>
      <c r="C9" s="20" t="inlineStr">
        <is>
          <t>2.0</t>
        </is>
      </c>
    </row>
    <row r="10" ht="20" customHeight="1">
      <c r="B10" s="27" t="inlineStr">
        <is>
          <t>Issued</t>
        </is>
      </c>
      <c r="C10" s="20" t="inlineStr">
        <is>
          <t>2026-05-14</t>
        </is>
      </c>
    </row>
    <row r="11" ht="20" customHeight="1">
      <c r="B11" s="27" t="inlineStr">
        <is>
          <t>Review cadence</t>
        </is>
      </c>
      <c r="C11" s="20" t="inlineStr">
        <is>
          <t>Monthly, or after a material business event</t>
        </is>
      </c>
    </row>
    <row r="12" ht="20" customHeight="1">
      <c r="B12" s="27" t="inlineStr">
        <is>
          <t>Classification</t>
        </is>
      </c>
      <c r="C12" s="20" t="inlineStr">
        <is>
          <t>Internal · Commercially sensitive</t>
        </is>
      </c>
    </row>
    <row r="13" ht="20" customHeight="1">
      <c r="B13" s="27" t="inlineStr">
        <is>
          <t>Currency convention</t>
        </is>
      </c>
      <c r="C13" s="20" t="inlineStr">
        <is>
          <t>Default AED — change in Assumptions tab if your reporting currency differs</t>
        </is>
      </c>
    </row>
    <row r="14" ht="20" customHeight="1">
      <c r="B14" s="27" t="inlineStr">
        <is>
          <t>Source of truth</t>
        </is>
      </c>
      <c r="C14" s="20" t="inlineStr">
        <is>
          <t>This workbook is the single source of truth for the metrics it contains</t>
        </is>
      </c>
    </row>
    <row r="15" ht="20" customHeight="1">
      <c r="B15" s="27" t="inlineStr">
        <is>
          <t>Distribution</t>
        </is>
      </c>
      <c r="C15" s="20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3" t="inlineStr">
        <is>
          <t>Role</t>
        </is>
      </c>
      <c r="C18" s="13" t="inlineStr">
        <is>
          <t>Name</t>
        </is>
      </c>
      <c r="D18" s="13" t="inlineStr">
        <is>
          <t>Approval status</t>
        </is>
      </c>
      <c r="E18" s="13" t="inlineStr">
        <is>
          <t>Comments</t>
        </is>
      </c>
    </row>
    <row r="19">
      <c r="B19" s="27" t="inlineStr">
        <is>
          <t>Founder / CEO</t>
        </is>
      </c>
      <c r="C19" s="17" t="inlineStr"/>
      <c r="D19" s="17" t="inlineStr">
        <is>
          <t>Pending</t>
        </is>
      </c>
      <c r="E19" s="17" t="inlineStr"/>
    </row>
    <row r="20">
      <c r="B20" s="27" t="inlineStr">
        <is>
          <t>Operations Lead</t>
        </is>
      </c>
      <c r="C20" s="17" t="inlineStr"/>
      <c r="D20" s="17" t="inlineStr">
        <is>
          <t>Pending</t>
        </is>
      </c>
      <c r="E20" s="17" t="inlineStr"/>
    </row>
    <row r="21">
      <c r="B21" s="27" t="inlineStr">
        <is>
          <t>Finance Lead</t>
        </is>
      </c>
      <c r="C21" s="17" t="inlineStr"/>
      <c r="D21" s="17" t="inlineStr">
        <is>
          <t>Pending</t>
        </is>
      </c>
      <c r="E21" s="17" t="inlineStr"/>
    </row>
    <row r="22">
      <c r="B22" s="27" t="inlineStr">
        <is>
          <t>Brand / Marketing Lead</t>
        </is>
      </c>
      <c r="C22" s="17" t="inlineStr"/>
      <c r="D22" s="17" t="inlineStr">
        <is>
          <t>Pending</t>
        </is>
      </c>
      <c r="E22" s="17" t="inlineStr"/>
    </row>
    <row r="24" ht="22" customHeight="1">
      <c r="A24" s="4" t="inlineStr">
        <is>
          <t>CHANGE LOG</t>
        </is>
      </c>
    </row>
    <row r="25" ht="22" customHeight="1">
      <c r="B25" s="13" t="inlineStr">
        <is>
          <t>Date</t>
        </is>
      </c>
      <c r="C25" s="13" t="inlineStr">
        <is>
          <t>Author</t>
        </is>
      </c>
      <c r="D25" s="13" t="inlineStr">
        <is>
          <t>Version</t>
        </is>
      </c>
      <c r="E25" s="13" t="inlineStr">
        <is>
          <t>Change summary</t>
        </is>
      </c>
    </row>
    <row r="26" ht="28" customHeight="1">
      <c r="B26" s="52" t="inlineStr">
        <is>
          <t>2026-05-14</t>
        </is>
      </c>
      <c r="C26" s="52" t="inlineStr">
        <is>
          <t>Ashmo Toolkit</t>
        </is>
      </c>
      <c r="D26" s="52" t="inlineStr">
        <is>
          <t>3.0</t>
        </is>
      </c>
      <c r="E26" s="52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56" t="inlineStr"/>
      <c r="C27" s="56" t="inlineStr"/>
      <c r="D27" s="56" t="inlineStr"/>
      <c r="E27" s="56" t="inlineStr"/>
    </row>
    <row r="28" ht="28" customHeight="1">
      <c r="B28" s="56" t="inlineStr"/>
      <c r="C28" s="56" t="inlineStr"/>
      <c r="D28" s="56" t="inlineStr"/>
      <c r="E28" s="56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36" customWidth="1" min="3" max="3"/>
    <col width="18" customWidth="1" min="4" max="4"/>
    <col width="28" customWidth="1" min="5" max="5"/>
    <col width="14" customWidth="1" min="6" max="6"/>
    <col width="14" customWidth="1" min="7" max="7"/>
    <col width="14" customWidth="1" min="8" max="8"/>
    <col width="12" customWidth="1" min="9" max="9"/>
    <col width="12" customWidth="1" min="10" max="10"/>
    <col width="14" customWidth="1" min="11" max="11"/>
    <col width="14" customWidth="1" min="12" max="12"/>
    <col width="32" customWidth="1" min="13" max="13"/>
  </cols>
  <sheetData>
    <row r="1" ht="30" customHeight="1">
      <c r="A1" s="1" t="inlineStr">
        <is>
          <t>Campaign ROI · Inputs</t>
        </is>
      </c>
    </row>
    <row r="2" ht="18" customHeight="1">
      <c r="A2" s="2" t="inlineStr">
        <is>
          <t>One row per campaign · all economics computed downstream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CAMPAIGN INPUTS</t>
        </is>
      </c>
    </row>
    <row r="5" ht="22" customHeight="1">
      <c r="B5" s="13" t="inlineStr">
        <is>
          <t>ID</t>
        </is>
      </c>
      <c r="C5" s="13" t="inlineStr">
        <is>
          <t>Campaign</t>
        </is>
      </c>
      <c r="D5" s="13" t="inlineStr">
        <is>
          <t>Channel</t>
        </is>
      </c>
      <c r="E5" s="13" t="inlineStr">
        <is>
          <t>Objective</t>
        </is>
      </c>
      <c r="F5" s="13" t="inlineStr">
        <is>
          <t>Spend</t>
        </is>
      </c>
      <c r="G5" s="13" t="inlineStr">
        <is>
          <t>Impressions</t>
        </is>
      </c>
      <c r="H5" s="13" t="inlineStr">
        <is>
          <t>Clicks</t>
        </is>
      </c>
      <c r="I5" s="13" t="inlineStr">
        <is>
          <t>Conversions</t>
        </is>
      </c>
      <c r="J5" s="13" t="inlineStr">
        <is>
          <t>AOV</t>
        </is>
      </c>
      <c r="K5" s="13" t="inlineStr">
        <is>
          <t>Status</t>
        </is>
      </c>
      <c r="L5" s="13" t="inlineStr">
        <is>
          <t>Priority</t>
        </is>
      </c>
      <c r="M5" s="13" t="inlineStr">
        <is>
          <t>Notes</t>
        </is>
      </c>
    </row>
    <row r="6" ht="28" customHeight="1">
      <c r="B6" s="14" t="inlineStr">
        <is>
          <t>ROI-001</t>
        </is>
      </c>
      <c r="C6" s="14" t="inlineStr">
        <is>
          <t>Q1 brand awareness — Paid Social</t>
        </is>
      </c>
      <c r="D6" s="14" t="inlineStr">
        <is>
          <t>Paid Social</t>
        </is>
      </c>
      <c r="E6" s="14" t="inlineStr">
        <is>
          <t>Awareness + acquisition</t>
        </is>
      </c>
      <c r="F6" s="15" t="n">
        <v>28000</v>
      </c>
      <c r="G6" s="16" t="n">
        <v>1850000</v>
      </c>
      <c r="H6" s="16" t="n">
        <v>22000</v>
      </c>
      <c r="I6" s="16" t="n">
        <v>5400</v>
      </c>
      <c r="J6" s="15" t="n">
        <v>21</v>
      </c>
      <c r="K6" s="14" t="inlineStr">
        <is>
          <t>Live</t>
        </is>
      </c>
      <c r="L6" s="14" t="inlineStr">
        <is>
          <t>High</t>
        </is>
      </c>
      <c r="M6" s="14" t="inlineStr">
        <is>
          <t>Hero creative tested A/B</t>
        </is>
      </c>
    </row>
    <row r="7" ht="28" customHeight="1">
      <c r="B7" s="14" t="inlineStr">
        <is>
          <t>ROI-002</t>
        </is>
      </c>
      <c r="C7" s="14" t="inlineStr">
        <is>
          <t>Lunch capture — Search</t>
        </is>
      </c>
      <c r="D7" s="14" t="inlineStr">
        <is>
          <t>Search</t>
        </is>
      </c>
      <c r="E7" s="14" t="inlineStr">
        <is>
          <t>Lunch daypart capture</t>
        </is>
      </c>
      <c r="F7" s="15" t="n">
        <v>18000</v>
      </c>
      <c r="G7" s="16" t="n">
        <v>480000</v>
      </c>
      <c r="H7" s="16" t="n">
        <v>14500</v>
      </c>
      <c r="I7" s="16" t="n">
        <v>4200</v>
      </c>
      <c r="J7" s="15" t="n">
        <v>19</v>
      </c>
      <c r="K7" s="14" t="inlineStr">
        <is>
          <t>Live</t>
        </is>
      </c>
      <c r="L7" s="14" t="inlineStr">
        <is>
          <t>High</t>
        </is>
      </c>
      <c r="M7" s="14" t="inlineStr">
        <is>
          <t>Branded + non-branded mix</t>
        </is>
      </c>
    </row>
    <row r="8" ht="28" customHeight="1">
      <c r="B8" s="14" t="inlineStr">
        <is>
          <t>ROI-003</t>
        </is>
      </c>
      <c r="C8" s="14" t="inlineStr">
        <is>
          <t>Spring creator wave</t>
        </is>
      </c>
      <c r="D8" s="14" t="inlineStr">
        <is>
          <t>Influencer</t>
        </is>
      </c>
      <c r="E8" s="14" t="inlineStr">
        <is>
          <t>Acquisition + brand reach</t>
        </is>
      </c>
      <c r="F8" s="15" t="n">
        <v>55000</v>
      </c>
      <c r="G8" s="16" t="n">
        <v>2200000</v>
      </c>
      <c r="H8" s="16" t="n">
        <v>8400</v>
      </c>
      <c r="I8" s="16" t="n">
        <v>9100</v>
      </c>
      <c r="J8" s="15" t="n">
        <v>24</v>
      </c>
      <c r="K8" s="14" t="inlineStr">
        <is>
          <t>Complete</t>
        </is>
      </c>
      <c r="L8" s="14" t="inlineStr">
        <is>
          <t>Critical</t>
        </is>
      </c>
      <c r="M8" s="14" t="inlineStr">
        <is>
          <t>Mix of mid + premium creators</t>
        </is>
      </c>
    </row>
    <row r="9" ht="28" customHeight="1">
      <c r="B9" s="14" t="inlineStr">
        <is>
          <t>ROI-004</t>
        </is>
      </c>
      <c r="C9" s="14" t="inlineStr">
        <is>
          <t>Loyalty winback push</t>
        </is>
      </c>
      <c r="D9" s="14" t="inlineStr">
        <is>
          <t>CRM / Email</t>
        </is>
      </c>
      <c r="E9" s="14" t="inlineStr">
        <is>
          <t>Repeat revenue from at-risk</t>
        </is>
      </c>
      <c r="F9" s="15" t="n">
        <v>9000</v>
      </c>
      <c r="G9" s="16" t="n">
        <v>28000</v>
      </c>
      <c r="H9" s="16" t="n">
        <v>12500</v>
      </c>
      <c r="I9" s="16" t="n">
        <v>4800</v>
      </c>
      <c r="J9" s="15" t="n">
        <v>22</v>
      </c>
      <c r="K9" s="14" t="inlineStr">
        <is>
          <t>Complete</t>
        </is>
      </c>
      <c r="L9" s="14" t="inlineStr">
        <is>
          <t>Medium</t>
        </is>
      </c>
      <c r="M9" s="14" t="inlineStr">
        <is>
          <t>Internal cost only — no media</t>
        </is>
      </c>
    </row>
    <row r="10" ht="28" customHeight="1">
      <c r="B10" s="14" t="inlineStr">
        <is>
          <t>ROI-005</t>
        </is>
      </c>
      <c r="C10" s="14" t="inlineStr">
        <is>
          <t>Delivery platform ads — A</t>
        </is>
      </c>
      <c r="D10" s="14" t="inlineStr">
        <is>
          <t>Aggregator Ads</t>
        </is>
      </c>
      <c r="E10" s="14" t="inlineStr">
        <is>
          <t>Delivery volume</t>
        </is>
      </c>
      <c r="F10" s="15" t="n">
        <v>16000</v>
      </c>
      <c r="G10" s="16" t="n">
        <v>240000</v>
      </c>
      <c r="H10" s="16" t="n">
        <v>9100</v>
      </c>
      <c r="I10" s="16" t="n">
        <v>6100</v>
      </c>
      <c r="J10" s="15" t="n">
        <v>18</v>
      </c>
      <c r="K10" s="14" t="inlineStr">
        <is>
          <t>Live</t>
        </is>
      </c>
      <c r="L10" s="14" t="inlineStr">
        <is>
          <t>High</t>
        </is>
      </c>
      <c r="M10" s="14" t="inlineStr">
        <is>
          <t>Platform-funded discount mix</t>
        </is>
      </c>
    </row>
    <row r="11" ht="28" customHeight="1">
      <c r="B11" s="14" t="inlineStr">
        <is>
          <t>ROI-006</t>
        </is>
      </c>
      <c r="C11" s="14" t="inlineStr">
        <is>
          <t>Premium street-level OOH</t>
        </is>
      </c>
      <c r="D11" s="14" t="inlineStr">
        <is>
          <t>OOH</t>
        </is>
      </c>
      <c r="E11" s="14" t="inlineStr">
        <is>
          <t>Brand awareness</t>
        </is>
      </c>
      <c r="F11" s="15" t="n">
        <v>95000</v>
      </c>
      <c r="G11" s="16" t="n">
        <v>1800000</v>
      </c>
      <c r="H11" s="16" t="n">
        <v>5400</v>
      </c>
      <c r="I11" s="16" t="n">
        <v>3200</v>
      </c>
      <c r="J11" s="15" t="n">
        <v>22</v>
      </c>
      <c r="K11" s="14" t="inlineStr">
        <is>
          <t>Complete</t>
        </is>
      </c>
      <c r="L11" s="14" t="inlineStr">
        <is>
          <t>Critical</t>
        </is>
      </c>
      <c r="M11" s="14" t="inlineStr">
        <is>
          <t>Reach campaign, soft conversion</t>
        </is>
      </c>
    </row>
    <row r="12" ht="28" customHeight="1">
      <c r="B12" s="14" t="inlineStr">
        <is>
          <t>ROI-007</t>
        </is>
      </c>
      <c r="C12" s="14" t="inlineStr">
        <is>
          <t>Mall sampling — flagship trade area</t>
        </is>
      </c>
      <c r="D12" s="14" t="inlineStr">
        <is>
          <t>Local / Hyperlocal</t>
        </is>
      </c>
      <c r="E12" s="14" t="inlineStr">
        <is>
          <t>Trial + acquisition</t>
        </is>
      </c>
      <c r="F12" s="15" t="n">
        <v>24000</v>
      </c>
      <c r="G12" s="16" t="n">
        <v>18000</v>
      </c>
      <c r="H12" s="16" t="n">
        <v>4500</v>
      </c>
      <c r="I12" s="16" t="n">
        <v>2800</v>
      </c>
      <c r="J12" s="15" t="n">
        <v>23</v>
      </c>
      <c r="K12" s="14" t="inlineStr">
        <is>
          <t>Complete</t>
        </is>
      </c>
      <c r="L12" s="14" t="inlineStr">
        <is>
          <t>High</t>
        </is>
      </c>
      <c r="M12" s="14" t="inlineStr">
        <is>
          <t>Tangible sampling impact</t>
        </is>
      </c>
    </row>
    <row r="13" ht="28" customHeight="1">
      <c r="B13" s="14" t="inlineStr">
        <is>
          <t>ROI-008</t>
        </is>
      </c>
      <c r="C13" s="14" t="inlineStr">
        <is>
          <t>Founder-led PR + creator dinner</t>
        </is>
      </c>
      <c r="D13" s="14" t="inlineStr">
        <is>
          <t>PR / Events</t>
        </is>
      </c>
      <c r="E13" s="14" t="inlineStr">
        <is>
          <t>Brand equity</t>
        </is>
      </c>
      <c r="F13" s="15" t="n">
        <v>42000</v>
      </c>
      <c r="G13" s="16" t="n">
        <v>1200000</v>
      </c>
      <c r="H13" s="16" t="n">
        <v>0</v>
      </c>
      <c r="I13" s="16" t="n">
        <v>0</v>
      </c>
      <c r="J13" s="15" t="n">
        <v>0</v>
      </c>
      <c r="K13" s="14" t="inlineStr">
        <is>
          <t>Complete</t>
        </is>
      </c>
      <c r="L13" s="14" t="inlineStr">
        <is>
          <t>Critical</t>
        </is>
      </c>
      <c r="M13" s="14" t="inlineStr">
        <is>
          <t>Earned reach focus</t>
        </is>
      </c>
    </row>
    <row r="14" ht="28" customHeight="1">
      <c r="B14" s="14" t="inlineStr">
        <is>
          <t>ROI-009</t>
        </is>
      </c>
      <c r="C14" s="14" t="inlineStr">
        <is>
          <t>Short-form video creator wave</t>
        </is>
      </c>
      <c r="D14" s="14" t="inlineStr">
        <is>
          <t>Influencer</t>
        </is>
      </c>
      <c r="E14" s="14" t="inlineStr">
        <is>
          <t>Younger acquisition</t>
        </is>
      </c>
      <c r="F14" s="15" t="n">
        <v>32000</v>
      </c>
      <c r="G14" s="16" t="n">
        <v>1450000</v>
      </c>
      <c r="H14" s="16" t="n">
        <v>9800</v>
      </c>
      <c r="I14" s="16" t="n">
        <v>4400</v>
      </c>
      <c r="J14" s="15" t="n">
        <v>21</v>
      </c>
      <c r="K14" s="14" t="inlineStr">
        <is>
          <t>Live</t>
        </is>
      </c>
      <c r="L14" s="14" t="inlineStr">
        <is>
          <t>High</t>
        </is>
      </c>
      <c r="M14" s="14" t="inlineStr"/>
    </row>
    <row r="15" ht="28" customHeight="1">
      <c r="B15" s="14" t="inlineStr">
        <is>
          <t>ROI-010</t>
        </is>
      </c>
      <c r="C15" s="14" t="inlineStr">
        <is>
          <t>Bottom-funnel search remarketing</t>
        </is>
      </c>
      <c r="D15" s="14" t="inlineStr">
        <is>
          <t>Search</t>
        </is>
      </c>
      <c r="E15" s="14" t="inlineStr">
        <is>
          <t>Direct conversion</t>
        </is>
      </c>
      <c r="F15" s="15" t="n">
        <v>8000</v>
      </c>
      <c r="G15" s="16" t="n">
        <v>95000</v>
      </c>
      <c r="H15" s="16" t="n">
        <v>3400</v>
      </c>
      <c r="I15" s="16" t="n">
        <v>2800</v>
      </c>
      <c r="J15" s="15" t="n">
        <v>26</v>
      </c>
      <c r="K15" s="14" t="inlineStr">
        <is>
          <t>Live</t>
        </is>
      </c>
      <c r="L15" s="14" t="inlineStr">
        <is>
          <t>Medium</t>
        </is>
      </c>
      <c r="M15" s="14" t="inlineStr">
        <is>
          <t>Lower volume, high intent</t>
        </is>
      </c>
    </row>
    <row r="16" ht="28" customHeight="1">
      <c r="B16" s="14" t="inlineStr">
        <is>
          <t>ROI-011</t>
        </is>
      </c>
      <c r="C16" s="14" t="inlineStr">
        <is>
          <t>SEO content cluster — category</t>
        </is>
      </c>
      <c r="D16" s="14" t="inlineStr">
        <is>
          <t>SEO / Content</t>
        </is>
      </c>
      <c r="E16" s="14" t="inlineStr">
        <is>
          <t>Organic acquisition</t>
        </is>
      </c>
      <c r="F16" s="15" t="n">
        <v>12000</v>
      </c>
      <c r="G16" s="16" t="n">
        <v>340000</v>
      </c>
      <c r="H16" s="16" t="n">
        <v>9800</v>
      </c>
      <c r="I16" s="16" t="n">
        <v>1900</v>
      </c>
      <c r="J16" s="15" t="n">
        <v>17</v>
      </c>
      <c r="K16" s="14" t="inlineStr">
        <is>
          <t>Live</t>
        </is>
      </c>
      <c r="L16" s="14" t="inlineStr">
        <is>
          <t>Medium</t>
        </is>
      </c>
      <c r="M16" s="14" t="inlineStr">
        <is>
          <t>Long lead time, compounds</t>
        </is>
      </c>
    </row>
    <row r="17" ht="28" customHeight="1">
      <c r="B17" s="14" t="inlineStr">
        <is>
          <t>ROI-012</t>
        </is>
      </c>
      <c r="C17" s="14" t="inlineStr">
        <is>
          <t>SMS reactivation flow</t>
        </is>
      </c>
      <c r="D17" s="14" t="inlineStr">
        <is>
          <t>SMS / Push</t>
        </is>
      </c>
      <c r="E17" s="14" t="inlineStr">
        <is>
          <t>Lapsed customer revenue</t>
        </is>
      </c>
      <c r="F17" s="15" t="n">
        <v>3500</v>
      </c>
      <c r="G17" s="16" t="n">
        <v>42000</v>
      </c>
      <c r="H17" s="16" t="n">
        <v>18000</v>
      </c>
      <c r="I17" s="16" t="n">
        <v>2200</v>
      </c>
      <c r="J17" s="15" t="n">
        <v>19</v>
      </c>
      <c r="K17" s="14" t="inlineStr">
        <is>
          <t>Live</t>
        </is>
      </c>
      <c r="L17" s="14" t="inlineStr">
        <is>
          <t>Medium</t>
        </is>
      </c>
      <c r="M17" s="14" t="inlineStr">
        <is>
          <t>Internal, opted-in audience</t>
        </is>
      </c>
    </row>
    <row r="18">
      <c r="B18" s="17" t="n"/>
      <c r="C18" s="17" t="n"/>
      <c r="D18" s="17" t="n"/>
      <c r="E18" s="17" t="n"/>
      <c r="F18" s="18" t="n"/>
      <c r="G18" s="19" t="n"/>
      <c r="H18" s="19" t="n"/>
      <c r="I18" s="19" t="n"/>
      <c r="J18" s="18" t="n"/>
      <c r="K18" s="17" t="n"/>
      <c r="L18" s="17" t="n"/>
      <c r="M18" s="17" t="n"/>
    </row>
    <row r="19">
      <c r="B19" s="17" t="n"/>
      <c r="C19" s="17" t="n"/>
      <c r="D19" s="17" t="n"/>
      <c r="E19" s="17" t="n"/>
      <c r="F19" s="18" t="n"/>
      <c r="G19" s="19" t="n"/>
      <c r="H19" s="19" t="n"/>
      <c r="I19" s="19" t="n"/>
      <c r="J19" s="18" t="n"/>
      <c r="K19" s="17" t="n"/>
      <c r="L19" s="17" t="n"/>
      <c r="M19" s="17" t="n"/>
    </row>
    <row r="20">
      <c r="B20" s="17" t="n"/>
      <c r="C20" s="17" t="n"/>
      <c r="D20" s="17" t="n"/>
      <c r="E20" s="17" t="n"/>
      <c r="F20" s="18" t="n"/>
      <c r="G20" s="19" t="n"/>
      <c r="H20" s="19" t="n"/>
      <c r="I20" s="19" t="n"/>
      <c r="J20" s="18" t="n"/>
      <c r="K20" s="17" t="n"/>
      <c r="L20" s="17" t="n"/>
      <c r="M20" s="17" t="n"/>
    </row>
    <row r="21">
      <c r="B21" s="17" t="n"/>
      <c r="C21" s="17" t="n"/>
      <c r="D21" s="17" t="n"/>
      <c r="E21" s="17" t="n"/>
      <c r="F21" s="18" t="n"/>
      <c r="G21" s="19" t="n"/>
      <c r="H21" s="19" t="n"/>
      <c r="I21" s="19" t="n"/>
      <c r="J21" s="18" t="n"/>
      <c r="K21" s="17" t="n"/>
      <c r="L21" s="17" t="n"/>
      <c r="M21" s="17" t="n"/>
    </row>
    <row r="22">
      <c r="B22" s="17" t="n"/>
      <c r="C22" s="17" t="n"/>
      <c r="D22" s="17" t="n"/>
      <c r="E22" s="17" t="n"/>
      <c r="F22" s="18" t="n"/>
      <c r="G22" s="19" t="n"/>
      <c r="H22" s="19" t="n"/>
      <c r="I22" s="19" t="n"/>
      <c r="J22" s="18" t="n"/>
      <c r="K22" s="17" t="n"/>
      <c r="L22" s="17" t="n"/>
      <c r="M22" s="17" t="n"/>
    </row>
    <row r="23">
      <c r="B23" s="17" t="n"/>
      <c r="C23" s="17" t="n"/>
      <c r="D23" s="17" t="n"/>
      <c r="E23" s="17" t="n"/>
      <c r="F23" s="18" t="n"/>
      <c r="G23" s="19" t="n"/>
      <c r="H23" s="19" t="n"/>
      <c r="I23" s="19" t="n"/>
      <c r="J23" s="18" t="n"/>
      <c r="K23" s="17" t="n"/>
      <c r="L23" s="17" t="n"/>
      <c r="M23" s="17" t="n"/>
    </row>
    <row r="24">
      <c r="B24" s="17" t="n"/>
      <c r="C24" s="17" t="n"/>
      <c r="D24" s="17" t="n"/>
      <c r="E24" s="17" t="n"/>
      <c r="F24" s="18" t="n"/>
      <c r="G24" s="19" t="n"/>
      <c r="H24" s="19" t="n"/>
      <c r="I24" s="19" t="n"/>
      <c r="J24" s="18" t="n"/>
      <c r="K24" s="17" t="n"/>
      <c r="L24" s="17" t="n"/>
      <c r="M24" s="17" t="n"/>
    </row>
    <row r="25">
      <c r="B25" s="17" t="n"/>
      <c r="C25" s="17" t="n"/>
      <c r="D25" s="17" t="n"/>
      <c r="E25" s="17" t="n"/>
      <c r="F25" s="18" t="n"/>
      <c r="G25" s="19" t="n"/>
      <c r="H25" s="19" t="n"/>
      <c r="I25" s="19" t="n"/>
      <c r="J25" s="18" t="n"/>
      <c r="K25" s="17" t="n"/>
      <c r="L25" s="17" t="n"/>
      <c r="M25" s="17" t="n"/>
    </row>
    <row r="26">
      <c r="B26" s="17" t="n"/>
      <c r="C26" s="17" t="n"/>
      <c r="D26" s="17" t="n"/>
      <c r="E26" s="17" t="n"/>
      <c r="F26" s="18" t="n"/>
      <c r="G26" s="19" t="n"/>
      <c r="H26" s="19" t="n"/>
      <c r="I26" s="19" t="n"/>
      <c r="J26" s="18" t="n"/>
      <c r="K26" s="17" t="n"/>
      <c r="L26" s="17" t="n"/>
      <c r="M26" s="17" t="n"/>
    </row>
    <row r="27">
      <c r="B27" s="17" t="n"/>
      <c r="C27" s="17" t="n"/>
      <c r="D27" s="17" t="n"/>
      <c r="E27" s="17" t="n"/>
      <c r="F27" s="18" t="n"/>
      <c r="G27" s="19" t="n"/>
      <c r="H27" s="19" t="n"/>
      <c r="I27" s="19" t="n"/>
      <c r="J27" s="18" t="n"/>
      <c r="K27" s="17" t="n"/>
      <c r="L27" s="17" t="n"/>
      <c r="M27" s="17" t="n"/>
    </row>
    <row r="28">
      <c r="B28" s="17" t="n"/>
      <c r="C28" s="17" t="n"/>
      <c r="D28" s="17" t="n"/>
      <c r="E28" s="17" t="n"/>
      <c r="F28" s="18" t="n"/>
      <c r="G28" s="19" t="n"/>
      <c r="H28" s="19" t="n"/>
      <c r="I28" s="19" t="n"/>
      <c r="J28" s="18" t="n"/>
      <c r="K28" s="17" t="n"/>
      <c r="L28" s="17" t="n"/>
      <c r="M28" s="17" t="n"/>
    </row>
    <row r="29">
      <c r="B29" s="17" t="n"/>
      <c r="C29" s="17" t="n"/>
      <c r="D29" s="17" t="n"/>
      <c r="E29" s="17" t="n"/>
      <c r="F29" s="18" t="n"/>
      <c r="G29" s="19" t="n"/>
      <c r="H29" s="19" t="n"/>
      <c r="I29" s="19" t="n"/>
      <c r="J29" s="18" t="n"/>
      <c r="K29" s="17" t="n"/>
      <c r="L29" s="17" t="n"/>
      <c r="M29" s="17" t="n"/>
    </row>
    <row r="30">
      <c r="B30" s="17" t="n"/>
      <c r="C30" s="17" t="n"/>
      <c r="D30" s="17" t="n"/>
      <c r="E30" s="17" t="n"/>
      <c r="F30" s="18" t="n"/>
      <c r="G30" s="19" t="n"/>
      <c r="H30" s="19" t="n"/>
      <c r="I30" s="19" t="n"/>
      <c r="J30" s="18" t="n"/>
      <c r="K30" s="17" t="n"/>
      <c r="L30" s="17" t="n"/>
      <c r="M30" s="17" t="n"/>
    </row>
    <row r="31">
      <c r="B31" s="17" t="n"/>
      <c r="C31" s="17" t="n"/>
      <c r="D31" s="17" t="n"/>
      <c r="E31" s="17" t="n"/>
      <c r="F31" s="18" t="n"/>
      <c r="G31" s="19" t="n"/>
      <c r="H31" s="19" t="n"/>
      <c r="I31" s="19" t="n"/>
      <c r="J31" s="18" t="n"/>
      <c r="K31" s="17" t="n"/>
      <c r="L31" s="17" t="n"/>
      <c r="M31" s="17" t="n"/>
    </row>
    <row r="32">
      <c r="B32" s="17" t="n"/>
      <c r="C32" s="17" t="n"/>
      <c r="D32" s="17" t="n"/>
      <c r="E32" s="17" t="n"/>
      <c r="F32" s="18" t="n"/>
      <c r="G32" s="19" t="n"/>
      <c r="H32" s="19" t="n"/>
      <c r="I32" s="19" t="n"/>
      <c r="J32" s="18" t="n"/>
      <c r="K32" s="17" t="n"/>
      <c r="L32" s="17" t="n"/>
      <c r="M32" s="17" t="n"/>
    </row>
    <row r="33">
      <c r="B33" s="17" t="n"/>
      <c r="C33" s="17" t="n"/>
      <c r="D33" s="17" t="n"/>
      <c r="E33" s="17" t="n"/>
      <c r="F33" s="18" t="n"/>
      <c r="G33" s="19" t="n"/>
      <c r="H33" s="19" t="n"/>
      <c r="I33" s="19" t="n"/>
      <c r="J33" s="18" t="n"/>
      <c r="K33" s="17" t="n"/>
      <c r="L33" s="17" t="n"/>
      <c r="M33" s="17" t="n"/>
    </row>
    <row r="34">
      <c r="B34" s="17" t="n"/>
      <c r="C34" s="17" t="n"/>
      <c r="D34" s="17" t="n"/>
      <c r="E34" s="17" t="n"/>
      <c r="F34" s="18" t="n"/>
      <c r="G34" s="19" t="n"/>
      <c r="H34" s="19" t="n"/>
      <c r="I34" s="19" t="n"/>
      <c r="J34" s="18" t="n"/>
      <c r="K34" s="17" t="n"/>
      <c r="L34" s="17" t="n"/>
      <c r="M34" s="17" t="n"/>
    </row>
    <row r="35">
      <c r="B35" s="17" t="n"/>
      <c r="C35" s="17" t="n"/>
      <c r="D35" s="17" t="n"/>
      <c r="E35" s="17" t="n"/>
      <c r="F35" s="18" t="n"/>
      <c r="G35" s="19" t="n"/>
      <c r="H35" s="19" t="n"/>
      <c r="I35" s="19" t="n"/>
      <c r="J35" s="18" t="n"/>
      <c r="K35" s="17" t="n"/>
      <c r="L35" s="17" t="n"/>
      <c r="M35" s="17" t="n"/>
    </row>
  </sheetData>
  <autoFilter ref="B5:M35"/>
  <mergeCells count="3">
    <mergeCell ref="A4:N4"/>
    <mergeCell ref="A2:N2"/>
    <mergeCell ref="A1:N1"/>
  </mergeCells>
  <conditionalFormatting sqref="K6:K35">
    <cfRule type="cellIs" priority="1" operator="equal" dxfId="0" stopIfTrue="0">
      <formula>"Live"</formula>
    </cfRule>
    <cfRule type="cellIs" priority="2" operator="equal" dxfId="0" stopIfTrue="0">
      <formula>"Complete"</formula>
    </cfRule>
    <cfRule type="cellIs" priority="3" operator="equal" dxfId="1" stopIfTrue="0">
      <formula>"Planned"</formula>
    </cfRule>
    <cfRule type="cellIs" priority="4" operator="equal" dxfId="1" stopIfTrue="0">
      <formula>"Paused"</formula>
    </cfRule>
    <cfRule type="cellIs" priority="5" operator="equal" dxfId="2" stopIfTrue="0">
      <formula>"Killed"</formula>
    </cfRule>
  </conditionalFormatting>
  <dataValidations count="3">
    <dataValidation sqref="D6:D35" showDropDown="0" showInputMessage="0" showErrorMessage="0" allowBlank="1" errorTitle="Invalid choice" error="Choose from the dropdown list." type="list">
      <formula1>"Paid Social,Search,Influencer,CRM / Email,SMS / Push,Aggregator Ads,OOH,Local / Hyperlocal,PR / Events,SEO / Content,Affiliate,Other"</formula1>
    </dataValidation>
    <dataValidation sqref="K6:K35" showDropDown="0" showInputMessage="0" showErrorMessage="0" allowBlank="1" errorTitle="Invalid choice" error="Choose from the dropdown list." type="list">
      <formula1>"Planned,Live,Paused,Complete,Killed"</formula1>
    </dataValidation>
    <dataValidation sqref="L6:L35" showDropDown="0" showInputMessage="0" showErrorMessage="0" allowBlank="1" errorTitle="Invalid choice" error="Choose from the dropdown list." type="list">
      <formula1>"Critical,High,Medium,Low"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8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4" customWidth="1" min="3" max="3"/>
    <col width="12" customWidth="1" min="4" max="4"/>
    <col width="14" customWidth="1" min="5" max="5"/>
    <col width="14" customWidth="1" min="6" max="6"/>
    <col width="14" customWidth="1" min="7" max="7"/>
    <col width="12" customWidth="1" min="8" max="8"/>
    <col width="10" customWidth="1" min="9" max="9"/>
    <col width="12" customWidth="1" min="10" max="10"/>
    <col width="12" customWidth="1" min="11" max="11"/>
    <col width="12" customWidth="1" min="12" max="12"/>
    <col width="14" customWidth="1" min="13" max="13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Per-campaign economics · channel rollup · LTV/CAC · sensitivity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PER-CAMPAIGN ECONOMICS</t>
        </is>
      </c>
    </row>
    <row r="5" ht="22" customHeight="1">
      <c r="B5" s="13" t="inlineStr">
        <is>
          <t>Campaign</t>
        </is>
      </c>
      <c r="C5" s="13" t="inlineStr">
        <is>
          <t>Spend</t>
        </is>
      </c>
      <c r="D5" s="13" t="inlineStr">
        <is>
          <t>Conv</t>
        </is>
      </c>
      <c r="E5" s="13" t="inlineStr">
        <is>
          <t>Revenue</t>
        </is>
      </c>
      <c r="F5" s="13" t="inlineStr">
        <is>
          <t>Gross profit</t>
        </is>
      </c>
      <c r="G5" s="13" t="inlineStr">
        <is>
          <t>Marketing margin</t>
        </is>
      </c>
      <c r="H5" s="13" t="inlineStr">
        <is>
          <t>CAC</t>
        </is>
      </c>
      <c r="I5" s="13" t="inlineStr">
        <is>
          <t>ROAS</t>
        </is>
      </c>
      <c r="J5" s="13" t="inlineStr">
        <is>
          <t>CTR</t>
        </is>
      </c>
      <c r="K5" s="13" t="inlineStr">
        <is>
          <t>CVR (clk→ord)</t>
        </is>
      </c>
      <c r="L5" s="13" t="inlineStr">
        <is>
          <t>Payback (days)</t>
        </is>
      </c>
      <c r="M5" s="13" t="inlineStr">
        <is>
          <t>Contribution ROI</t>
        </is>
      </c>
    </row>
    <row r="6" ht="22" customHeight="1">
      <c r="B6" s="20">
        <f>Inputs!C6</f>
        <v/>
      </c>
      <c r="C6" s="21">
        <f>IFERROR(Inputs!F6,0)</f>
        <v/>
      </c>
      <c r="D6" s="22">
        <f>IFERROR(Inputs!I6,0)</f>
        <v/>
      </c>
      <c r="E6" s="21">
        <f>IFERROR(D6*Inputs!J6,0)</f>
        <v/>
      </c>
      <c r="F6" s="21">
        <f>IFERROR(E6*Assumptions!$C$6,0)</f>
        <v/>
      </c>
      <c r="G6" s="21">
        <f>IFERROR(F6-C6,0)</f>
        <v/>
      </c>
      <c r="H6" s="21">
        <f>IFERROR(C6/(D6*Assumptions!$C$10),"")</f>
        <v/>
      </c>
      <c r="I6" s="23">
        <f>IFERROR(E6/C6,0)</f>
        <v/>
      </c>
      <c r="J6" s="24">
        <f>IFERROR(Inputs!H6/Inputs!G6,0)</f>
        <v/>
      </c>
      <c r="K6" s="24">
        <f>IFERROR(D6/Inputs!H6,0)</f>
        <v/>
      </c>
      <c r="L6" s="25">
        <f>IFERROR(H6/(Inputs!J6*Assumptions!$C$6)*Assumptions!$C$7,0)</f>
        <v/>
      </c>
      <c r="M6" s="26">
        <f>IFERROR(G6/C6,0)</f>
        <v/>
      </c>
    </row>
    <row r="7" ht="22" customHeight="1">
      <c r="B7" s="20">
        <f>Inputs!C7</f>
        <v/>
      </c>
      <c r="C7" s="21">
        <f>IFERROR(Inputs!F7,0)</f>
        <v/>
      </c>
      <c r="D7" s="22">
        <f>IFERROR(Inputs!I7,0)</f>
        <v/>
      </c>
      <c r="E7" s="21">
        <f>IFERROR(D7*Inputs!J7,0)</f>
        <v/>
      </c>
      <c r="F7" s="21">
        <f>IFERROR(E7*Assumptions!$C$6,0)</f>
        <v/>
      </c>
      <c r="G7" s="21">
        <f>IFERROR(F7-C7,0)</f>
        <v/>
      </c>
      <c r="H7" s="21">
        <f>IFERROR(C7/(D7*Assumptions!$C$10),"")</f>
        <v/>
      </c>
      <c r="I7" s="23">
        <f>IFERROR(E7/C7,0)</f>
        <v/>
      </c>
      <c r="J7" s="24">
        <f>IFERROR(Inputs!H7/Inputs!G7,0)</f>
        <v/>
      </c>
      <c r="K7" s="24">
        <f>IFERROR(D7/Inputs!H7,0)</f>
        <v/>
      </c>
      <c r="L7" s="25">
        <f>IFERROR(H7/(Inputs!J7*Assumptions!$C$6)*Assumptions!$C$7,0)</f>
        <v/>
      </c>
      <c r="M7" s="26">
        <f>IFERROR(G7/C7,0)</f>
        <v/>
      </c>
    </row>
    <row r="8" ht="22" customHeight="1">
      <c r="B8" s="20">
        <f>Inputs!C8</f>
        <v/>
      </c>
      <c r="C8" s="21">
        <f>IFERROR(Inputs!F8,0)</f>
        <v/>
      </c>
      <c r="D8" s="22">
        <f>IFERROR(Inputs!I8,0)</f>
        <v/>
      </c>
      <c r="E8" s="21">
        <f>IFERROR(D8*Inputs!J8,0)</f>
        <v/>
      </c>
      <c r="F8" s="21">
        <f>IFERROR(E8*Assumptions!$C$6,0)</f>
        <v/>
      </c>
      <c r="G8" s="21">
        <f>IFERROR(F8-C8,0)</f>
        <v/>
      </c>
      <c r="H8" s="21">
        <f>IFERROR(C8/(D8*Assumptions!$C$10),"")</f>
        <v/>
      </c>
      <c r="I8" s="23">
        <f>IFERROR(E8/C8,0)</f>
        <v/>
      </c>
      <c r="J8" s="24">
        <f>IFERROR(Inputs!H8/Inputs!G8,0)</f>
        <v/>
      </c>
      <c r="K8" s="24">
        <f>IFERROR(D8/Inputs!H8,0)</f>
        <v/>
      </c>
      <c r="L8" s="25">
        <f>IFERROR(H8/(Inputs!J8*Assumptions!$C$6)*Assumptions!$C$7,0)</f>
        <v/>
      </c>
      <c r="M8" s="26">
        <f>IFERROR(G8/C8,0)</f>
        <v/>
      </c>
    </row>
    <row r="9" ht="22" customHeight="1">
      <c r="B9" s="20">
        <f>Inputs!C9</f>
        <v/>
      </c>
      <c r="C9" s="21">
        <f>IFERROR(Inputs!F9,0)</f>
        <v/>
      </c>
      <c r="D9" s="22">
        <f>IFERROR(Inputs!I9,0)</f>
        <v/>
      </c>
      <c r="E9" s="21">
        <f>IFERROR(D9*Inputs!J9,0)</f>
        <v/>
      </c>
      <c r="F9" s="21">
        <f>IFERROR(E9*Assumptions!$C$6,0)</f>
        <v/>
      </c>
      <c r="G9" s="21">
        <f>IFERROR(F9-C9,0)</f>
        <v/>
      </c>
      <c r="H9" s="21">
        <f>IFERROR(C9/(D9*Assumptions!$C$10),"")</f>
        <v/>
      </c>
      <c r="I9" s="23">
        <f>IFERROR(E9/C9,0)</f>
        <v/>
      </c>
      <c r="J9" s="24">
        <f>IFERROR(Inputs!H9/Inputs!G9,0)</f>
        <v/>
      </c>
      <c r="K9" s="24">
        <f>IFERROR(D9/Inputs!H9,0)</f>
        <v/>
      </c>
      <c r="L9" s="25">
        <f>IFERROR(H9/(Inputs!J9*Assumptions!$C$6)*Assumptions!$C$7,0)</f>
        <v/>
      </c>
      <c r="M9" s="26">
        <f>IFERROR(G9/C9,0)</f>
        <v/>
      </c>
    </row>
    <row r="10" ht="22" customHeight="1">
      <c r="B10" s="20">
        <f>Inputs!C10</f>
        <v/>
      </c>
      <c r="C10" s="21">
        <f>IFERROR(Inputs!F10,0)</f>
        <v/>
      </c>
      <c r="D10" s="22">
        <f>IFERROR(Inputs!I10,0)</f>
        <v/>
      </c>
      <c r="E10" s="21">
        <f>IFERROR(D10*Inputs!J10,0)</f>
        <v/>
      </c>
      <c r="F10" s="21">
        <f>IFERROR(E10*Assumptions!$C$6,0)</f>
        <v/>
      </c>
      <c r="G10" s="21">
        <f>IFERROR(F10-C10,0)</f>
        <v/>
      </c>
      <c r="H10" s="21">
        <f>IFERROR(C10/(D10*Assumptions!$C$10),"")</f>
        <v/>
      </c>
      <c r="I10" s="23">
        <f>IFERROR(E10/C10,0)</f>
        <v/>
      </c>
      <c r="J10" s="24">
        <f>IFERROR(Inputs!H10/Inputs!G10,0)</f>
        <v/>
      </c>
      <c r="K10" s="24">
        <f>IFERROR(D10/Inputs!H10,0)</f>
        <v/>
      </c>
      <c r="L10" s="25">
        <f>IFERROR(H10/(Inputs!J10*Assumptions!$C$6)*Assumptions!$C$7,0)</f>
        <v/>
      </c>
      <c r="M10" s="26">
        <f>IFERROR(G10/C10,0)</f>
        <v/>
      </c>
    </row>
    <row r="11" ht="22" customHeight="1">
      <c r="B11" s="20">
        <f>Inputs!C11</f>
        <v/>
      </c>
      <c r="C11" s="21">
        <f>IFERROR(Inputs!F11,0)</f>
        <v/>
      </c>
      <c r="D11" s="22">
        <f>IFERROR(Inputs!I11,0)</f>
        <v/>
      </c>
      <c r="E11" s="21">
        <f>IFERROR(D11*Inputs!J11,0)</f>
        <v/>
      </c>
      <c r="F11" s="21">
        <f>IFERROR(E11*Assumptions!$C$6,0)</f>
        <v/>
      </c>
      <c r="G11" s="21">
        <f>IFERROR(F11-C11,0)</f>
        <v/>
      </c>
      <c r="H11" s="21">
        <f>IFERROR(C11/(D11*Assumptions!$C$10),"")</f>
        <v/>
      </c>
      <c r="I11" s="23">
        <f>IFERROR(E11/C11,0)</f>
        <v/>
      </c>
      <c r="J11" s="24">
        <f>IFERROR(Inputs!H11/Inputs!G11,0)</f>
        <v/>
      </c>
      <c r="K11" s="24">
        <f>IFERROR(D11/Inputs!H11,0)</f>
        <v/>
      </c>
      <c r="L11" s="25">
        <f>IFERROR(H11/(Inputs!J11*Assumptions!$C$6)*Assumptions!$C$7,0)</f>
        <v/>
      </c>
      <c r="M11" s="26">
        <f>IFERROR(G11/C11,0)</f>
        <v/>
      </c>
    </row>
    <row r="12" ht="22" customHeight="1">
      <c r="B12" s="20">
        <f>Inputs!C12</f>
        <v/>
      </c>
      <c r="C12" s="21">
        <f>IFERROR(Inputs!F12,0)</f>
        <v/>
      </c>
      <c r="D12" s="22">
        <f>IFERROR(Inputs!I12,0)</f>
        <v/>
      </c>
      <c r="E12" s="21">
        <f>IFERROR(D12*Inputs!J12,0)</f>
        <v/>
      </c>
      <c r="F12" s="21">
        <f>IFERROR(E12*Assumptions!$C$6,0)</f>
        <v/>
      </c>
      <c r="G12" s="21">
        <f>IFERROR(F12-C12,0)</f>
        <v/>
      </c>
      <c r="H12" s="21">
        <f>IFERROR(C12/(D12*Assumptions!$C$10),"")</f>
        <v/>
      </c>
      <c r="I12" s="23">
        <f>IFERROR(E12/C12,0)</f>
        <v/>
      </c>
      <c r="J12" s="24">
        <f>IFERROR(Inputs!H12/Inputs!G12,0)</f>
        <v/>
      </c>
      <c r="K12" s="24">
        <f>IFERROR(D12/Inputs!H12,0)</f>
        <v/>
      </c>
      <c r="L12" s="25">
        <f>IFERROR(H12/(Inputs!J12*Assumptions!$C$6)*Assumptions!$C$7,0)</f>
        <v/>
      </c>
      <c r="M12" s="26">
        <f>IFERROR(G12/C12,0)</f>
        <v/>
      </c>
    </row>
    <row r="13" ht="22" customHeight="1">
      <c r="B13" s="20">
        <f>Inputs!C13</f>
        <v/>
      </c>
      <c r="C13" s="21">
        <f>IFERROR(Inputs!F13,0)</f>
        <v/>
      </c>
      <c r="D13" s="22">
        <f>IFERROR(Inputs!I13,0)</f>
        <v/>
      </c>
      <c r="E13" s="21">
        <f>IFERROR(D13*Inputs!J13,0)</f>
        <v/>
      </c>
      <c r="F13" s="21">
        <f>IFERROR(E13*Assumptions!$C$6,0)</f>
        <v/>
      </c>
      <c r="G13" s="21">
        <f>IFERROR(F13-C13,0)</f>
        <v/>
      </c>
      <c r="H13" s="21">
        <f>IFERROR(C13/(D13*Assumptions!$C$10),"")</f>
        <v/>
      </c>
      <c r="I13" s="23">
        <f>IFERROR(E13/C13,0)</f>
        <v/>
      </c>
      <c r="J13" s="24">
        <f>IFERROR(Inputs!H13/Inputs!G13,0)</f>
        <v/>
      </c>
      <c r="K13" s="24">
        <f>IFERROR(D13/Inputs!H13,0)</f>
        <v/>
      </c>
      <c r="L13" s="25">
        <f>IFERROR(H13/(Inputs!J13*Assumptions!$C$6)*Assumptions!$C$7,0)</f>
        <v/>
      </c>
      <c r="M13" s="26">
        <f>IFERROR(G13/C13,0)</f>
        <v/>
      </c>
    </row>
    <row r="14" ht="22" customHeight="1">
      <c r="B14" s="20">
        <f>Inputs!C14</f>
        <v/>
      </c>
      <c r="C14" s="21">
        <f>IFERROR(Inputs!F14,0)</f>
        <v/>
      </c>
      <c r="D14" s="22">
        <f>IFERROR(Inputs!I14,0)</f>
        <v/>
      </c>
      <c r="E14" s="21">
        <f>IFERROR(D14*Inputs!J14,0)</f>
        <v/>
      </c>
      <c r="F14" s="21">
        <f>IFERROR(E14*Assumptions!$C$6,0)</f>
        <v/>
      </c>
      <c r="G14" s="21">
        <f>IFERROR(F14-C14,0)</f>
        <v/>
      </c>
      <c r="H14" s="21">
        <f>IFERROR(C14/(D14*Assumptions!$C$10),"")</f>
        <v/>
      </c>
      <c r="I14" s="23">
        <f>IFERROR(E14/C14,0)</f>
        <v/>
      </c>
      <c r="J14" s="24">
        <f>IFERROR(Inputs!H14/Inputs!G14,0)</f>
        <v/>
      </c>
      <c r="K14" s="24">
        <f>IFERROR(D14/Inputs!H14,0)</f>
        <v/>
      </c>
      <c r="L14" s="25">
        <f>IFERROR(H14/(Inputs!J14*Assumptions!$C$6)*Assumptions!$C$7,0)</f>
        <v/>
      </c>
      <c r="M14" s="26">
        <f>IFERROR(G14/C14,0)</f>
        <v/>
      </c>
    </row>
    <row r="15" ht="22" customHeight="1">
      <c r="B15" s="20">
        <f>Inputs!C15</f>
        <v/>
      </c>
      <c r="C15" s="21">
        <f>IFERROR(Inputs!F15,0)</f>
        <v/>
      </c>
      <c r="D15" s="22">
        <f>IFERROR(Inputs!I15,0)</f>
        <v/>
      </c>
      <c r="E15" s="21">
        <f>IFERROR(D15*Inputs!J15,0)</f>
        <v/>
      </c>
      <c r="F15" s="21">
        <f>IFERROR(E15*Assumptions!$C$6,0)</f>
        <v/>
      </c>
      <c r="G15" s="21">
        <f>IFERROR(F15-C15,0)</f>
        <v/>
      </c>
      <c r="H15" s="21">
        <f>IFERROR(C15/(D15*Assumptions!$C$10),"")</f>
        <v/>
      </c>
      <c r="I15" s="23">
        <f>IFERROR(E15/C15,0)</f>
        <v/>
      </c>
      <c r="J15" s="24">
        <f>IFERROR(Inputs!H15/Inputs!G15,0)</f>
        <v/>
      </c>
      <c r="K15" s="24">
        <f>IFERROR(D15/Inputs!H15,0)</f>
        <v/>
      </c>
      <c r="L15" s="25">
        <f>IFERROR(H15/(Inputs!J15*Assumptions!$C$6)*Assumptions!$C$7,0)</f>
        <v/>
      </c>
      <c r="M15" s="26">
        <f>IFERROR(G15/C15,0)</f>
        <v/>
      </c>
    </row>
    <row r="16" ht="22" customHeight="1">
      <c r="B16" s="20">
        <f>Inputs!C16</f>
        <v/>
      </c>
      <c r="C16" s="21">
        <f>IFERROR(Inputs!F16,0)</f>
        <v/>
      </c>
      <c r="D16" s="22">
        <f>IFERROR(Inputs!I16,0)</f>
        <v/>
      </c>
      <c r="E16" s="21">
        <f>IFERROR(D16*Inputs!J16,0)</f>
        <v/>
      </c>
      <c r="F16" s="21">
        <f>IFERROR(E16*Assumptions!$C$6,0)</f>
        <v/>
      </c>
      <c r="G16" s="21">
        <f>IFERROR(F16-C16,0)</f>
        <v/>
      </c>
      <c r="H16" s="21">
        <f>IFERROR(C16/(D16*Assumptions!$C$10),"")</f>
        <v/>
      </c>
      <c r="I16" s="23">
        <f>IFERROR(E16/C16,0)</f>
        <v/>
      </c>
      <c r="J16" s="24">
        <f>IFERROR(Inputs!H16/Inputs!G16,0)</f>
        <v/>
      </c>
      <c r="K16" s="24">
        <f>IFERROR(D16/Inputs!H16,0)</f>
        <v/>
      </c>
      <c r="L16" s="25">
        <f>IFERROR(H16/(Inputs!J16*Assumptions!$C$6)*Assumptions!$C$7,0)</f>
        <v/>
      </c>
      <c r="M16" s="26">
        <f>IFERROR(G16/C16,0)</f>
        <v/>
      </c>
    </row>
    <row r="17" ht="22" customHeight="1">
      <c r="B17" s="20">
        <f>Inputs!C17</f>
        <v/>
      </c>
      <c r="C17" s="21">
        <f>IFERROR(Inputs!F17,0)</f>
        <v/>
      </c>
      <c r="D17" s="22">
        <f>IFERROR(Inputs!I17,0)</f>
        <v/>
      </c>
      <c r="E17" s="21">
        <f>IFERROR(D17*Inputs!J17,0)</f>
        <v/>
      </c>
      <c r="F17" s="21">
        <f>IFERROR(E17*Assumptions!$C$6,0)</f>
        <v/>
      </c>
      <c r="G17" s="21">
        <f>IFERROR(F17-C17,0)</f>
        <v/>
      </c>
      <c r="H17" s="21">
        <f>IFERROR(C17/(D17*Assumptions!$C$10),"")</f>
        <v/>
      </c>
      <c r="I17" s="23">
        <f>IFERROR(E17/C17,0)</f>
        <v/>
      </c>
      <c r="J17" s="24">
        <f>IFERROR(Inputs!H17/Inputs!G17,0)</f>
        <v/>
      </c>
      <c r="K17" s="24">
        <f>IFERROR(D17/Inputs!H17,0)</f>
        <v/>
      </c>
      <c r="L17" s="25">
        <f>IFERROR(H17/(Inputs!J17*Assumptions!$C$6)*Assumptions!$C$7,0)</f>
        <v/>
      </c>
      <c r="M17" s="26">
        <f>IFERROR(G17/C17,0)</f>
        <v/>
      </c>
    </row>
    <row r="18" ht="22" customHeight="1">
      <c r="B18" s="20">
        <f>Inputs!C18</f>
        <v/>
      </c>
      <c r="C18" s="21">
        <f>IFERROR(Inputs!F18,0)</f>
        <v/>
      </c>
      <c r="D18" s="22">
        <f>IFERROR(Inputs!I18,0)</f>
        <v/>
      </c>
      <c r="E18" s="21">
        <f>IFERROR(D18*Inputs!J18,0)</f>
        <v/>
      </c>
      <c r="F18" s="21">
        <f>IFERROR(E18*Assumptions!$C$6,0)</f>
        <v/>
      </c>
      <c r="G18" s="21">
        <f>IFERROR(F18-C18,0)</f>
        <v/>
      </c>
      <c r="H18" s="21">
        <f>IFERROR(C18/(D18*Assumptions!$C$10),"")</f>
        <v/>
      </c>
      <c r="I18" s="23">
        <f>IFERROR(E18/C18,0)</f>
        <v/>
      </c>
      <c r="J18" s="24">
        <f>IFERROR(Inputs!H18/Inputs!G18,0)</f>
        <v/>
      </c>
      <c r="K18" s="24">
        <f>IFERROR(D18/Inputs!H18,0)</f>
        <v/>
      </c>
      <c r="L18" s="25">
        <f>IFERROR(H18/(Inputs!J18*Assumptions!$C$6)*Assumptions!$C$7,0)</f>
        <v/>
      </c>
      <c r="M18" s="26">
        <f>IFERROR(G18/C18,0)</f>
        <v/>
      </c>
    </row>
    <row r="19" ht="22" customHeight="1">
      <c r="B19" s="20">
        <f>Inputs!C19</f>
        <v/>
      </c>
      <c r="C19" s="21">
        <f>IFERROR(Inputs!F19,0)</f>
        <v/>
      </c>
      <c r="D19" s="22">
        <f>IFERROR(Inputs!I19,0)</f>
        <v/>
      </c>
      <c r="E19" s="21">
        <f>IFERROR(D19*Inputs!J19,0)</f>
        <v/>
      </c>
      <c r="F19" s="21">
        <f>IFERROR(E19*Assumptions!$C$6,0)</f>
        <v/>
      </c>
      <c r="G19" s="21">
        <f>IFERROR(F19-C19,0)</f>
        <v/>
      </c>
      <c r="H19" s="21">
        <f>IFERROR(C19/(D19*Assumptions!$C$10),"")</f>
        <v/>
      </c>
      <c r="I19" s="23">
        <f>IFERROR(E19/C19,0)</f>
        <v/>
      </c>
      <c r="J19" s="24">
        <f>IFERROR(Inputs!H19/Inputs!G19,0)</f>
        <v/>
      </c>
      <c r="K19" s="24">
        <f>IFERROR(D19/Inputs!H19,0)</f>
        <v/>
      </c>
      <c r="L19" s="25">
        <f>IFERROR(H19/(Inputs!J19*Assumptions!$C$6)*Assumptions!$C$7,0)</f>
        <v/>
      </c>
      <c r="M19" s="26">
        <f>IFERROR(G19/C19,0)</f>
        <v/>
      </c>
    </row>
    <row r="20" ht="22" customHeight="1">
      <c r="B20" s="20">
        <f>Inputs!C20</f>
        <v/>
      </c>
      <c r="C20" s="21">
        <f>IFERROR(Inputs!F20,0)</f>
        <v/>
      </c>
      <c r="D20" s="22">
        <f>IFERROR(Inputs!I20,0)</f>
        <v/>
      </c>
      <c r="E20" s="21">
        <f>IFERROR(D20*Inputs!J20,0)</f>
        <v/>
      </c>
      <c r="F20" s="21">
        <f>IFERROR(E20*Assumptions!$C$6,0)</f>
        <v/>
      </c>
      <c r="G20" s="21">
        <f>IFERROR(F20-C20,0)</f>
        <v/>
      </c>
      <c r="H20" s="21">
        <f>IFERROR(C20/(D20*Assumptions!$C$10),"")</f>
        <v/>
      </c>
      <c r="I20" s="23">
        <f>IFERROR(E20/C20,0)</f>
        <v/>
      </c>
      <c r="J20" s="24">
        <f>IFERROR(Inputs!H20/Inputs!G20,0)</f>
        <v/>
      </c>
      <c r="K20" s="24">
        <f>IFERROR(D20/Inputs!H20,0)</f>
        <v/>
      </c>
      <c r="L20" s="25">
        <f>IFERROR(H20/(Inputs!J20*Assumptions!$C$6)*Assumptions!$C$7,0)</f>
        <v/>
      </c>
      <c r="M20" s="26">
        <f>IFERROR(G20/C20,0)</f>
        <v/>
      </c>
    </row>
    <row r="21" ht="22" customHeight="1">
      <c r="B21" s="20">
        <f>Inputs!C21</f>
        <v/>
      </c>
      <c r="C21" s="21">
        <f>IFERROR(Inputs!F21,0)</f>
        <v/>
      </c>
      <c r="D21" s="22">
        <f>IFERROR(Inputs!I21,0)</f>
        <v/>
      </c>
      <c r="E21" s="21">
        <f>IFERROR(D21*Inputs!J21,0)</f>
        <v/>
      </c>
      <c r="F21" s="21">
        <f>IFERROR(E21*Assumptions!$C$6,0)</f>
        <v/>
      </c>
      <c r="G21" s="21">
        <f>IFERROR(F21-C21,0)</f>
        <v/>
      </c>
      <c r="H21" s="21">
        <f>IFERROR(C21/(D21*Assumptions!$C$10),"")</f>
        <v/>
      </c>
      <c r="I21" s="23">
        <f>IFERROR(E21/C21,0)</f>
        <v/>
      </c>
      <c r="J21" s="24">
        <f>IFERROR(Inputs!H21/Inputs!G21,0)</f>
        <v/>
      </c>
      <c r="K21" s="24">
        <f>IFERROR(D21/Inputs!H21,0)</f>
        <v/>
      </c>
      <c r="L21" s="25">
        <f>IFERROR(H21/(Inputs!J21*Assumptions!$C$6)*Assumptions!$C$7,0)</f>
        <v/>
      </c>
      <c r="M21" s="26">
        <f>IFERROR(G21/C21,0)</f>
        <v/>
      </c>
    </row>
    <row r="22" ht="22" customHeight="1">
      <c r="B22" s="20">
        <f>Inputs!C22</f>
        <v/>
      </c>
      <c r="C22" s="21">
        <f>IFERROR(Inputs!F22,0)</f>
        <v/>
      </c>
      <c r="D22" s="22">
        <f>IFERROR(Inputs!I22,0)</f>
        <v/>
      </c>
      <c r="E22" s="21">
        <f>IFERROR(D22*Inputs!J22,0)</f>
        <v/>
      </c>
      <c r="F22" s="21">
        <f>IFERROR(E22*Assumptions!$C$6,0)</f>
        <v/>
      </c>
      <c r="G22" s="21">
        <f>IFERROR(F22-C22,0)</f>
        <v/>
      </c>
      <c r="H22" s="21">
        <f>IFERROR(C22/(D22*Assumptions!$C$10),"")</f>
        <v/>
      </c>
      <c r="I22" s="23">
        <f>IFERROR(E22/C22,0)</f>
        <v/>
      </c>
      <c r="J22" s="24">
        <f>IFERROR(Inputs!H22/Inputs!G22,0)</f>
        <v/>
      </c>
      <c r="K22" s="24">
        <f>IFERROR(D22/Inputs!H22,0)</f>
        <v/>
      </c>
      <c r="L22" s="25">
        <f>IFERROR(H22/(Inputs!J22*Assumptions!$C$6)*Assumptions!$C$7,0)</f>
        <v/>
      </c>
      <c r="M22" s="26">
        <f>IFERROR(G22/C22,0)</f>
        <v/>
      </c>
    </row>
    <row r="23" ht="22" customHeight="1">
      <c r="B23" s="20">
        <f>Inputs!C23</f>
        <v/>
      </c>
      <c r="C23" s="21">
        <f>IFERROR(Inputs!F23,0)</f>
        <v/>
      </c>
      <c r="D23" s="22">
        <f>IFERROR(Inputs!I23,0)</f>
        <v/>
      </c>
      <c r="E23" s="21">
        <f>IFERROR(D23*Inputs!J23,0)</f>
        <v/>
      </c>
      <c r="F23" s="21">
        <f>IFERROR(E23*Assumptions!$C$6,0)</f>
        <v/>
      </c>
      <c r="G23" s="21">
        <f>IFERROR(F23-C23,0)</f>
        <v/>
      </c>
      <c r="H23" s="21">
        <f>IFERROR(C23/(D23*Assumptions!$C$10),"")</f>
        <v/>
      </c>
      <c r="I23" s="23">
        <f>IFERROR(E23/C23,0)</f>
        <v/>
      </c>
      <c r="J23" s="24">
        <f>IFERROR(Inputs!H23/Inputs!G23,0)</f>
        <v/>
      </c>
      <c r="K23" s="24">
        <f>IFERROR(D23/Inputs!H23,0)</f>
        <v/>
      </c>
      <c r="L23" s="25">
        <f>IFERROR(H23/(Inputs!J23*Assumptions!$C$6)*Assumptions!$C$7,0)</f>
        <v/>
      </c>
      <c r="M23" s="26">
        <f>IFERROR(G23/C23,0)</f>
        <v/>
      </c>
    </row>
    <row r="24" ht="22" customHeight="1">
      <c r="B24" s="20">
        <f>Inputs!C24</f>
        <v/>
      </c>
      <c r="C24" s="21">
        <f>IFERROR(Inputs!F24,0)</f>
        <v/>
      </c>
      <c r="D24" s="22">
        <f>IFERROR(Inputs!I24,0)</f>
        <v/>
      </c>
      <c r="E24" s="21">
        <f>IFERROR(D24*Inputs!J24,0)</f>
        <v/>
      </c>
      <c r="F24" s="21">
        <f>IFERROR(E24*Assumptions!$C$6,0)</f>
        <v/>
      </c>
      <c r="G24" s="21">
        <f>IFERROR(F24-C24,0)</f>
        <v/>
      </c>
      <c r="H24" s="21">
        <f>IFERROR(C24/(D24*Assumptions!$C$10),"")</f>
        <v/>
      </c>
      <c r="I24" s="23">
        <f>IFERROR(E24/C24,0)</f>
        <v/>
      </c>
      <c r="J24" s="24">
        <f>IFERROR(Inputs!H24/Inputs!G24,0)</f>
        <v/>
      </c>
      <c r="K24" s="24">
        <f>IFERROR(D24/Inputs!H24,0)</f>
        <v/>
      </c>
      <c r="L24" s="25">
        <f>IFERROR(H24/(Inputs!J24*Assumptions!$C$6)*Assumptions!$C$7,0)</f>
        <v/>
      </c>
      <c r="M24" s="26">
        <f>IFERROR(G24/C24,0)</f>
        <v/>
      </c>
    </row>
    <row r="25" ht="22" customHeight="1">
      <c r="B25" s="20">
        <f>Inputs!C25</f>
        <v/>
      </c>
      <c r="C25" s="21">
        <f>IFERROR(Inputs!F25,0)</f>
        <v/>
      </c>
      <c r="D25" s="22">
        <f>IFERROR(Inputs!I25,0)</f>
        <v/>
      </c>
      <c r="E25" s="21">
        <f>IFERROR(D25*Inputs!J25,0)</f>
        <v/>
      </c>
      <c r="F25" s="21">
        <f>IFERROR(E25*Assumptions!$C$6,0)</f>
        <v/>
      </c>
      <c r="G25" s="21">
        <f>IFERROR(F25-C25,0)</f>
        <v/>
      </c>
      <c r="H25" s="21">
        <f>IFERROR(C25/(D25*Assumptions!$C$10),"")</f>
        <v/>
      </c>
      <c r="I25" s="23">
        <f>IFERROR(E25/C25,0)</f>
        <v/>
      </c>
      <c r="J25" s="24">
        <f>IFERROR(Inputs!H25/Inputs!G25,0)</f>
        <v/>
      </c>
      <c r="K25" s="24">
        <f>IFERROR(D25/Inputs!H25,0)</f>
        <v/>
      </c>
      <c r="L25" s="25">
        <f>IFERROR(H25/(Inputs!J25*Assumptions!$C$6)*Assumptions!$C$7,0)</f>
        <v/>
      </c>
      <c r="M25" s="26">
        <f>IFERROR(G25/C25,0)</f>
        <v/>
      </c>
    </row>
    <row r="26" ht="22" customHeight="1">
      <c r="B26" s="20">
        <f>Inputs!C26</f>
        <v/>
      </c>
      <c r="C26" s="21">
        <f>IFERROR(Inputs!F26,0)</f>
        <v/>
      </c>
      <c r="D26" s="22">
        <f>IFERROR(Inputs!I26,0)</f>
        <v/>
      </c>
      <c r="E26" s="21">
        <f>IFERROR(D26*Inputs!J26,0)</f>
        <v/>
      </c>
      <c r="F26" s="21">
        <f>IFERROR(E26*Assumptions!$C$6,0)</f>
        <v/>
      </c>
      <c r="G26" s="21">
        <f>IFERROR(F26-C26,0)</f>
        <v/>
      </c>
      <c r="H26" s="21">
        <f>IFERROR(C26/(D26*Assumptions!$C$10),"")</f>
        <v/>
      </c>
      <c r="I26" s="23">
        <f>IFERROR(E26/C26,0)</f>
        <v/>
      </c>
      <c r="J26" s="24">
        <f>IFERROR(Inputs!H26/Inputs!G26,0)</f>
        <v/>
      </c>
      <c r="K26" s="24">
        <f>IFERROR(D26/Inputs!H26,0)</f>
        <v/>
      </c>
      <c r="L26" s="25">
        <f>IFERROR(H26/(Inputs!J26*Assumptions!$C$6)*Assumptions!$C$7,0)</f>
        <v/>
      </c>
      <c r="M26" s="26">
        <f>IFERROR(G26/C26,0)</f>
        <v/>
      </c>
    </row>
    <row r="27" ht="22" customHeight="1">
      <c r="B27" s="20">
        <f>Inputs!C27</f>
        <v/>
      </c>
      <c r="C27" s="21">
        <f>IFERROR(Inputs!F27,0)</f>
        <v/>
      </c>
      <c r="D27" s="22">
        <f>IFERROR(Inputs!I27,0)</f>
        <v/>
      </c>
      <c r="E27" s="21">
        <f>IFERROR(D27*Inputs!J27,0)</f>
        <v/>
      </c>
      <c r="F27" s="21">
        <f>IFERROR(E27*Assumptions!$C$6,0)</f>
        <v/>
      </c>
      <c r="G27" s="21">
        <f>IFERROR(F27-C27,0)</f>
        <v/>
      </c>
      <c r="H27" s="21">
        <f>IFERROR(C27/(D27*Assumptions!$C$10),"")</f>
        <v/>
      </c>
      <c r="I27" s="23">
        <f>IFERROR(E27/C27,0)</f>
        <v/>
      </c>
      <c r="J27" s="24">
        <f>IFERROR(Inputs!H27/Inputs!G27,0)</f>
        <v/>
      </c>
      <c r="K27" s="24">
        <f>IFERROR(D27/Inputs!H27,0)</f>
        <v/>
      </c>
      <c r="L27" s="25">
        <f>IFERROR(H27/(Inputs!J27*Assumptions!$C$6)*Assumptions!$C$7,0)</f>
        <v/>
      </c>
      <c r="M27" s="26">
        <f>IFERROR(G27/C27,0)</f>
        <v/>
      </c>
    </row>
    <row r="28" ht="22" customHeight="1">
      <c r="B28" s="20">
        <f>Inputs!C28</f>
        <v/>
      </c>
      <c r="C28" s="21">
        <f>IFERROR(Inputs!F28,0)</f>
        <v/>
      </c>
      <c r="D28" s="22">
        <f>IFERROR(Inputs!I28,0)</f>
        <v/>
      </c>
      <c r="E28" s="21">
        <f>IFERROR(D28*Inputs!J28,0)</f>
        <v/>
      </c>
      <c r="F28" s="21">
        <f>IFERROR(E28*Assumptions!$C$6,0)</f>
        <v/>
      </c>
      <c r="G28" s="21">
        <f>IFERROR(F28-C28,0)</f>
        <v/>
      </c>
      <c r="H28" s="21">
        <f>IFERROR(C28/(D28*Assumptions!$C$10),"")</f>
        <v/>
      </c>
      <c r="I28" s="23">
        <f>IFERROR(E28/C28,0)</f>
        <v/>
      </c>
      <c r="J28" s="24">
        <f>IFERROR(Inputs!H28/Inputs!G28,0)</f>
        <v/>
      </c>
      <c r="K28" s="24">
        <f>IFERROR(D28/Inputs!H28,0)</f>
        <v/>
      </c>
      <c r="L28" s="25">
        <f>IFERROR(H28/(Inputs!J28*Assumptions!$C$6)*Assumptions!$C$7,0)</f>
        <v/>
      </c>
      <c r="M28" s="26">
        <f>IFERROR(G28/C28,0)</f>
        <v/>
      </c>
    </row>
    <row r="29" ht="22" customHeight="1">
      <c r="B29" s="20">
        <f>Inputs!C29</f>
        <v/>
      </c>
      <c r="C29" s="21">
        <f>IFERROR(Inputs!F29,0)</f>
        <v/>
      </c>
      <c r="D29" s="22">
        <f>IFERROR(Inputs!I29,0)</f>
        <v/>
      </c>
      <c r="E29" s="21">
        <f>IFERROR(D29*Inputs!J29,0)</f>
        <v/>
      </c>
      <c r="F29" s="21">
        <f>IFERROR(E29*Assumptions!$C$6,0)</f>
        <v/>
      </c>
      <c r="G29" s="21">
        <f>IFERROR(F29-C29,0)</f>
        <v/>
      </c>
      <c r="H29" s="21">
        <f>IFERROR(C29/(D29*Assumptions!$C$10),"")</f>
        <v/>
      </c>
      <c r="I29" s="23">
        <f>IFERROR(E29/C29,0)</f>
        <v/>
      </c>
      <c r="J29" s="24">
        <f>IFERROR(Inputs!H29/Inputs!G29,0)</f>
        <v/>
      </c>
      <c r="K29" s="24">
        <f>IFERROR(D29/Inputs!H29,0)</f>
        <v/>
      </c>
      <c r="L29" s="25">
        <f>IFERROR(H29/(Inputs!J29*Assumptions!$C$6)*Assumptions!$C$7,0)</f>
        <v/>
      </c>
      <c r="M29" s="26">
        <f>IFERROR(G29/C29,0)</f>
        <v/>
      </c>
    </row>
    <row r="30" ht="22" customHeight="1">
      <c r="B30" s="20">
        <f>Inputs!C30</f>
        <v/>
      </c>
      <c r="C30" s="21">
        <f>IFERROR(Inputs!F30,0)</f>
        <v/>
      </c>
      <c r="D30" s="22">
        <f>IFERROR(Inputs!I30,0)</f>
        <v/>
      </c>
      <c r="E30" s="21">
        <f>IFERROR(D30*Inputs!J30,0)</f>
        <v/>
      </c>
      <c r="F30" s="21">
        <f>IFERROR(E30*Assumptions!$C$6,0)</f>
        <v/>
      </c>
      <c r="G30" s="21">
        <f>IFERROR(F30-C30,0)</f>
        <v/>
      </c>
      <c r="H30" s="21">
        <f>IFERROR(C30/(D30*Assumptions!$C$10),"")</f>
        <v/>
      </c>
      <c r="I30" s="23">
        <f>IFERROR(E30/C30,0)</f>
        <v/>
      </c>
      <c r="J30" s="24">
        <f>IFERROR(Inputs!H30/Inputs!G30,0)</f>
        <v/>
      </c>
      <c r="K30" s="24">
        <f>IFERROR(D30/Inputs!H30,0)</f>
        <v/>
      </c>
      <c r="L30" s="25">
        <f>IFERROR(H30/(Inputs!J30*Assumptions!$C$6)*Assumptions!$C$7,0)</f>
        <v/>
      </c>
      <c r="M30" s="26">
        <f>IFERROR(G30/C30,0)</f>
        <v/>
      </c>
    </row>
    <row r="31" ht="22" customHeight="1">
      <c r="B31" s="20">
        <f>Inputs!C31</f>
        <v/>
      </c>
      <c r="C31" s="21">
        <f>IFERROR(Inputs!F31,0)</f>
        <v/>
      </c>
      <c r="D31" s="22">
        <f>IFERROR(Inputs!I31,0)</f>
        <v/>
      </c>
      <c r="E31" s="21">
        <f>IFERROR(D31*Inputs!J31,0)</f>
        <v/>
      </c>
      <c r="F31" s="21">
        <f>IFERROR(E31*Assumptions!$C$6,0)</f>
        <v/>
      </c>
      <c r="G31" s="21">
        <f>IFERROR(F31-C31,0)</f>
        <v/>
      </c>
      <c r="H31" s="21">
        <f>IFERROR(C31/(D31*Assumptions!$C$10),"")</f>
        <v/>
      </c>
      <c r="I31" s="23">
        <f>IFERROR(E31/C31,0)</f>
        <v/>
      </c>
      <c r="J31" s="24">
        <f>IFERROR(Inputs!H31/Inputs!G31,0)</f>
        <v/>
      </c>
      <c r="K31" s="24">
        <f>IFERROR(D31/Inputs!H31,0)</f>
        <v/>
      </c>
      <c r="L31" s="25">
        <f>IFERROR(H31/(Inputs!J31*Assumptions!$C$6)*Assumptions!$C$7,0)</f>
        <v/>
      </c>
      <c r="M31" s="26">
        <f>IFERROR(G31/C31,0)</f>
        <v/>
      </c>
    </row>
    <row r="32" ht="22" customHeight="1">
      <c r="B32" s="20">
        <f>Inputs!C32</f>
        <v/>
      </c>
      <c r="C32" s="21">
        <f>IFERROR(Inputs!F32,0)</f>
        <v/>
      </c>
      <c r="D32" s="22">
        <f>IFERROR(Inputs!I32,0)</f>
        <v/>
      </c>
      <c r="E32" s="21">
        <f>IFERROR(D32*Inputs!J32,0)</f>
        <v/>
      </c>
      <c r="F32" s="21">
        <f>IFERROR(E32*Assumptions!$C$6,0)</f>
        <v/>
      </c>
      <c r="G32" s="21">
        <f>IFERROR(F32-C32,0)</f>
        <v/>
      </c>
      <c r="H32" s="21">
        <f>IFERROR(C32/(D32*Assumptions!$C$10),"")</f>
        <v/>
      </c>
      <c r="I32" s="23">
        <f>IFERROR(E32/C32,0)</f>
        <v/>
      </c>
      <c r="J32" s="24">
        <f>IFERROR(Inputs!H32/Inputs!G32,0)</f>
        <v/>
      </c>
      <c r="K32" s="24">
        <f>IFERROR(D32/Inputs!H32,0)</f>
        <v/>
      </c>
      <c r="L32" s="25">
        <f>IFERROR(H32/(Inputs!J32*Assumptions!$C$6)*Assumptions!$C$7,0)</f>
        <v/>
      </c>
      <c r="M32" s="26">
        <f>IFERROR(G32/C32,0)</f>
        <v/>
      </c>
    </row>
    <row r="33" ht="22" customHeight="1">
      <c r="B33" s="20">
        <f>Inputs!C33</f>
        <v/>
      </c>
      <c r="C33" s="21">
        <f>IFERROR(Inputs!F33,0)</f>
        <v/>
      </c>
      <c r="D33" s="22">
        <f>IFERROR(Inputs!I33,0)</f>
        <v/>
      </c>
      <c r="E33" s="21">
        <f>IFERROR(D33*Inputs!J33,0)</f>
        <v/>
      </c>
      <c r="F33" s="21">
        <f>IFERROR(E33*Assumptions!$C$6,0)</f>
        <v/>
      </c>
      <c r="G33" s="21">
        <f>IFERROR(F33-C33,0)</f>
        <v/>
      </c>
      <c r="H33" s="21">
        <f>IFERROR(C33/(D33*Assumptions!$C$10),"")</f>
        <v/>
      </c>
      <c r="I33" s="23">
        <f>IFERROR(E33/C33,0)</f>
        <v/>
      </c>
      <c r="J33" s="24">
        <f>IFERROR(Inputs!H33/Inputs!G33,0)</f>
        <v/>
      </c>
      <c r="K33" s="24">
        <f>IFERROR(D33/Inputs!H33,0)</f>
        <v/>
      </c>
      <c r="L33" s="25">
        <f>IFERROR(H33/(Inputs!J33*Assumptions!$C$6)*Assumptions!$C$7,0)</f>
        <v/>
      </c>
      <c r="M33" s="26">
        <f>IFERROR(G33/C33,0)</f>
        <v/>
      </c>
    </row>
    <row r="34" ht="22" customHeight="1">
      <c r="B34" s="20">
        <f>Inputs!C34</f>
        <v/>
      </c>
      <c r="C34" s="21">
        <f>IFERROR(Inputs!F34,0)</f>
        <v/>
      </c>
      <c r="D34" s="22">
        <f>IFERROR(Inputs!I34,0)</f>
        <v/>
      </c>
      <c r="E34" s="21">
        <f>IFERROR(D34*Inputs!J34,0)</f>
        <v/>
      </c>
      <c r="F34" s="21">
        <f>IFERROR(E34*Assumptions!$C$6,0)</f>
        <v/>
      </c>
      <c r="G34" s="21">
        <f>IFERROR(F34-C34,0)</f>
        <v/>
      </c>
      <c r="H34" s="21">
        <f>IFERROR(C34/(D34*Assumptions!$C$10),"")</f>
        <v/>
      </c>
      <c r="I34" s="23">
        <f>IFERROR(E34/C34,0)</f>
        <v/>
      </c>
      <c r="J34" s="24">
        <f>IFERROR(Inputs!H34/Inputs!G34,0)</f>
        <v/>
      </c>
      <c r="K34" s="24">
        <f>IFERROR(D34/Inputs!H34,0)</f>
        <v/>
      </c>
      <c r="L34" s="25">
        <f>IFERROR(H34/(Inputs!J34*Assumptions!$C$6)*Assumptions!$C$7,0)</f>
        <v/>
      </c>
      <c r="M34" s="26">
        <f>IFERROR(G34/C34,0)</f>
        <v/>
      </c>
    </row>
    <row r="35" ht="22" customHeight="1">
      <c r="B35" s="20">
        <f>Inputs!C35</f>
        <v/>
      </c>
      <c r="C35" s="21">
        <f>IFERROR(Inputs!F35,0)</f>
        <v/>
      </c>
      <c r="D35" s="22">
        <f>IFERROR(Inputs!I35,0)</f>
        <v/>
      </c>
      <c r="E35" s="21">
        <f>IFERROR(D35*Inputs!J35,0)</f>
        <v/>
      </c>
      <c r="F35" s="21">
        <f>IFERROR(E35*Assumptions!$C$6,0)</f>
        <v/>
      </c>
      <c r="G35" s="21">
        <f>IFERROR(F35-C35,0)</f>
        <v/>
      </c>
      <c r="H35" s="21">
        <f>IFERROR(C35/(D35*Assumptions!$C$10),"")</f>
        <v/>
      </c>
      <c r="I35" s="23">
        <f>IFERROR(E35/C35,0)</f>
        <v/>
      </c>
      <c r="J35" s="24">
        <f>IFERROR(Inputs!H35/Inputs!G35,0)</f>
        <v/>
      </c>
      <c r="K35" s="24">
        <f>IFERROR(D35/Inputs!H35,0)</f>
        <v/>
      </c>
      <c r="L35" s="25">
        <f>IFERROR(H35/(Inputs!J35*Assumptions!$C$6)*Assumptions!$C$7,0)</f>
        <v/>
      </c>
      <c r="M35" s="26">
        <f>IFERROR(G35/C35,0)</f>
        <v/>
      </c>
    </row>
    <row r="38" ht="22" customHeight="1">
      <c r="A38" s="4" t="inlineStr">
        <is>
          <t>CHANNEL ROLLUP</t>
        </is>
      </c>
    </row>
    <row r="39" ht="22" customHeight="1">
      <c r="B39" s="13" t="inlineStr">
        <is>
          <t>Channel</t>
        </is>
      </c>
      <c r="C39" s="13" t="inlineStr">
        <is>
          <t>Campaigns</t>
        </is>
      </c>
      <c r="D39" s="13" t="inlineStr">
        <is>
          <t>Spend</t>
        </is>
      </c>
      <c r="E39" s="13" t="inlineStr">
        <is>
          <t>Revenue</t>
        </is>
      </c>
      <c r="F39" s="13" t="inlineStr">
        <is>
          <t>ROAS</t>
        </is>
      </c>
      <c r="G39" s="13" t="inlineStr">
        <is>
          <t>Avg CAC</t>
        </is>
      </c>
      <c r="H39" s="13" t="inlineStr">
        <is>
          <t>Avg payback (d)</t>
        </is>
      </c>
      <c r="I39" s="13" t="inlineStr">
        <is>
          <t>Contribution ROI</t>
        </is>
      </c>
    </row>
    <row r="40">
      <c r="B40" s="27" t="inlineStr">
        <is>
          <t>Paid Social</t>
        </is>
      </c>
      <c r="C40" s="20">
        <f>COUNTIFS(Inputs!D6:D35,B40)</f>
        <v/>
      </c>
      <c r="D40" s="21">
        <f>SUMIFS(Inputs!F6:F35,Inputs!D6:D35,B40)</f>
        <v/>
      </c>
      <c r="E40" s="21">
        <f>SUMPRODUCT((Inputs!D6:D35=B40)*IFERROR(Inputs!I6:I35*Inputs!J6:J35,0))</f>
        <v/>
      </c>
      <c r="F40" s="23">
        <f>IFERROR(E40/D40,0)</f>
        <v/>
      </c>
      <c r="G40" s="21">
        <f>IFERROR(D40/(SUMIFS(Inputs!I6:I35,Inputs!D6:D35,B40)*Assumptions!$C$10),0)</f>
        <v/>
      </c>
      <c r="H40" s="25">
        <f>IFERROR(SUMPRODUCT((Inputs!D6:D35=B40)*L6:L35)/MAX(C40,1),0)</f>
        <v/>
      </c>
      <c r="I40" s="26">
        <f>IFERROR((E40*Assumptions!$C$6-D40)/D40,0)</f>
        <v/>
      </c>
    </row>
    <row r="41">
      <c r="B41" s="27" t="inlineStr">
        <is>
          <t>Search</t>
        </is>
      </c>
      <c r="C41" s="20">
        <f>COUNTIFS(Inputs!D6:D35,B41)</f>
        <v/>
      </c>
      <c r="D41" s="21">
        <f>SUMIFS(Inputs!F6:F35,Inputs!D6:D35,B41)</f>
        <v/>
      </c>
      <c r="E41" s="21">
        <f>SUMPRODUCT((Inputs!D6:D35=B41)*IFERROR(Inputs!I6:I35*Inputs!J6:J35,0))</f>
        <v/>
      </c>
      <c r="F41" s="23">
        <f>IFERROR(E41/D41,0)</f>
        <v/>
      </c>
      <c r="G41" s="21">
        <f>IFERROR(D41/(SUMIFS(Inputs!I6:I35,Inputs!D6:D35,B41)*Assumptions!$C$10),0)</f>
        <v/>
      </c>
      <c r="H41" s="25">
        <f>IFERROR(SUMPRODUCT((Inputs!D6:D35=B41)*L6:L35)/MAX(C41,1),0)</f>
        <v/>
      </c>
      <c r="I41" s="26">
        <f>IFERROR((E41*Assumptions!$C$6-D41)/D41,0)</f>
        <v/>
      </c>
    </row>
    <row r="42">
      <c r="B42" s="27" t="inlineStr">
        <is>
          <t>Influencer</t>
        </is>
      </c>
      <c r="C42" s="20">
        <f>COUNTIFS(Inputs!D6:D35,B42)</f>
        <v/>
      </c>
      <c r="D42" s="21">
        <f>SUMIFS(Inputs!F6:F35,Inputs!D6:D35,B42)</f>
        <v/>
      </c>
      <c r="E42" s="21">
        <f>SUMPRODUCT((Inputs!D6:D35=B42)*IFERROR(Inputs!I6:I35*Inputs!J6:J35,0))</f>
        <v/>
      </c>
      <c r="F42" s="23">
        <f>IFERROR(E42/D42,0)</f>
        <v/>
      </c>
      <c r="G42" s="21">
        <f>IFERROR(D42/(SUMIFS(Inputs!I6:I35,Inputs!D6:D35,B42)*Assumptions!$C$10),0)</f>
        <v/>
      </c>
      <c r="H42" s="25">
        <f>IFERROR(SUMPRODUCT((Inputs!D6:D35=B42)*L6:L35)/MAX(C42,1),0)</f>
        <v/>
      </c>
      <c r="I42" s="26">
        <f>IFERROR((E42*Assumptions!$C$6-D42)/D42,0)</f>
        <v/>
      </c>
    </row>
    <row r="43">
      <c r="B43" s="27" t="inlineStr">
        <is>
          <t>CRM / Email</t>
        </is>
      </c>
      <c r="C43" s="20">
        <f>COUNTIFS(Inputs!D6:D35,B43)</f>
        <v/>
      </c>
      <c r="D43" s="21">
        <f>SUMIFS(Inputs!F6:F35,Inputs!D6:D35,B43)</f>
        <v/>
      </c>
      <c r="E43" s="21">
        <f>SUMPRODUCT((Inputs!D6:D35=B43)*IFERROR(Inputs!I6:I35*Inputs!J6:J35,0))</f>
        <v/>
      </c>
      <c r="F43" s="23">
        <f>IFERROR(E43/D43,0)</f>
        <v/>
      </c>
      <c r="G43" s="21">
        <f>IFERROR(D43/(SUMIFS(Inputs!I6:I35,Inputs!D6:D35,B43)*Assumptions!$C$10),0)</f>
        <v/>
      </c>
      <c r="H43" s="25">
        <f>IFERROR(SUMPRODUCT((Inputs!D6:D35=B43)*L6:L35)/MAX(C43,1),0)</f>
        <v/>
      </c>
      <c r="I43" s="26">
        <f>IFERROR((E43*Assumptions!$C$6-D43)/D43,0)</f>
        <v/>
      </c>
    </row>
    <row r="44">
      <c r="B44" s="27" t="inlineStr">
        <is>
          <t>SMS / Push</t>
        </is>
      </c>
      <c r="C44" s="20">
        <f>COUNTIFS(Inputs!D6:D35,B44)</f>
        <v/>
      </c>
      <c r="D44" s="21">
        <f>SUMIFS(Inputs!F6:F35,Inputs!D6:D35,B44)</f>
        <v/>
      </c>
      <c r="E44" s="21">
        <f>SUMPRODUCT((Inputs!D6:D35=B44)*IFERROR(Inputs!I6:I35*Inputs!J6:J35,0))</f>
        <v/>
      </c>
      <c r="F44" s="23">
        <f>IFERROR(E44/D44,0)</f>
        <v/>
      </c>
      <c r="G44" s="21">
        <f>IFERROR(D44/(SUMIFS(Inputs!I6:I35,Inputs!D6:D35,B44)*Assumptions!$C$10),0)</f>
        <v/>
      </c>
      <c r="H44" s="25">
        <f>IFERROR(SUMPRODUCT((Inputs!D6:D35=B44)*L6:L35)/MAX(C44,1),0)</f>
        <v/>
      </c>
      <c r="I44" s="26">
        <f>IFERROR((E44*Assumptions!$C$6-D44)/D44,0)</f>
        <v/>
      </c>
    </row>
    <row r="45">
      <c r="B45" s="27" t="inlineStr">
        <is>
          <t>Aggregator Ads</t>
        </is>
      </c>
      <c r="C45" s="20">
        <f>COUNTIFS(Inputs!D6:D35,B45)</f>
        <v/>
      </c>
      <c r="D45" s="21">
        <f>SUMIFS(Inputs!F6:F35,Inputs!D6:D35,B45)</f>
        <v/>
      </c>
      <c r="E45" s="21">
        <f>SUMPRODUCT((Inputs!D6:D35=B45)*IFERROR(Inputs!I6:I35*Inputs!J6:J35,0))</f>
        <v/>
      </c>
      <c r="F45" s="23">
        <f>IFERROR(E45/D45,0)</f>
        <v/>
      </c>
      <c r="G45" s="21">
        <f>IFERROR(D45/(SUMIFS(Inputs!I6:I35,Inputs!D6:D35,B45)*Assumptions!$C$10),0)</f>
        <v/>
      </c>
      <c r="H45" s="25">
        <f>IFERROR(SUMPRODUCT((Inputs!D6:D35=B45)*L6:L35)/MAX(C45,1),0)</f>
        <v/>
      </c>
      <c r="I45" s="26">
        <f>IFERROR((E45*Assumptions!$C$6-D45)/D45,0)</f>
        <v/>
      </c>
    </row>
    <row r="46">
      <c r="B46" s="27" t="inlineStr">
        <is>
          <t>OOH</t>
        </is>
      </c>
      <c r="C46" s="20">
        <f>COUNTIFS(Inputs!D6:D35,B46)</f>
        <v/>
      </c>
      <c r="D46" s="21">
        <f>SUMIFS(Inputs!F6:F35,Inputs!D6:D35,B46)</f>
        <v/>
      </c>
      <c r="E46" s="21">
        <f>SUMPRODUCT((Inputs!D6:D35=B46)*IFERROR(Inputs!I6:I35*Inputs!J6:J35,0))</f>
        <v/>
      </c>
      <c r="F46" s="23">
        <f>IFERROR(E46/D46,0)</f>
        <v/>
      </c>
      <c r="G46" s="21">
        <f>IFERROR(D46/(SUMIFS(Inputs!I6:I35,Inputs!D6:D35,B46)*Assumptions!$C$10),0)</f>
        <v/>
      </c>
      <c r="H46" s="25">
        <f>IFERROR(SUMPRODUCT((Inputs!D6:D35=B46)*L6:L35)/MAX(C46,1),0)</f>
        <v/>
      </c>
      <c r="I46" s="26">
        <f>IFERROR((E46*Assumptions!$C$6-D46)/D46,0)</f>
        <v/>
      </c>
    </row>
    <row r="47">
      <c r="B47" s="27" t="inlineStr">
        <is>
          <t>Local / Hyperlocal</t>
        </is>
      </c>
      <c r="C47" s="20">
        <f>COUNTIFS(Inputs!D6:D35,B47)</f>
        <v/>
      </c>
      <c r="D47" s="21">
        <f>SUMIFS(Inputs!F6:F35,Inputs!D6:D35,B47)</f>
        <v/>
      </c>
      <c r="E47" s="21">
        <f>SUMPRODUCT((Inputs!D6:D35=B47)*IFERROR(Inputs!I6:I35*Inputs!J6:J35,0))</f>
        <v/>
      </c>
      <c r="F47" s="23">
        <f>IFERROR(E47/D47,0)</f>
        <v/>
      </c>
      <c r="G47" s="21">
        <f>IFERROR(D47/(SUMIFS(Inputs!I6:I35,Inputs!D6:D35,B47)*Assumptions!$C$10),0)</f>
        <v/>
      </c>
      <c r="H47" s="25">
        <f>IFERROR(SUMPRODUCT((Inputs!D6:D35=B47)*L6:L35)/MAX(C47,1),0)</f>
        <v/>
      </c>
      <c r="I47" s="26">
        <f>IFERROR((E47*Assumptions!$C$6-D47)/D47,0)</f>
        <v/>
      </c>
    </row>
    <row r="48">
      <c r="B48" s="27" t="inlineStr">
        <is>
          <t>PR / Events</t>
        </is>
      </c>
      <c r="C48" s="20">
        <f>COUNTIFS(Inputs!D6:D35,B48)</f>
        <v/>
      </c>
      <c r="D48" s="21">
        <f>SUMIFS(Inputs!F6:F35,Inputs!D6:D35,B48)</f>
        <v/>
      </c>
      <c r="E48" s="21">
        <f>SUMPRODUCT((Inputs!D6:D35=B48)*IFERROR(Inputs!I6:I35*Inputs!J6:J35,0))</f>
        <v/>
      </c>
      <c r="F48" s="23">
        <f>IFERROR(E48/D48,0)</f>
        <v/>
      </c>
      <c r="G48" s="21">
        <f>IFERROR(D48/(SUMIFS(Inputs!I6:I35,Inputs!D6:D35,B48)*Assumptions!$C$10),0)</f>
        <v/>
      </c>
      <c r="H48" s="25">
        <f>IFERROR(SUMPRODUCT((Inputs!D6:D35=B48)*L6:L35)/MAX(C48,1),0)</f>
        <v/>
      </c>
      <c r="I48" s="26">
        <f>IFERROR((E48*Assumptions!$C$6-D48)/D48,0)</f>
        <v/>
      </c>
    </row>
    <row r="49">
      <c r="B49" s="27" t="inlineStr">
        <is>
          <t>SEO / Content</t>
        </is>
      </c>
      <c r="C49" s="20">
        <f>COUNTIFS(Inputs!D6:D35,B49)</f>
        <v/>
      </c>
      <c r="D49" s="21">
        <f>SUMIFS(Inputs!F6:F35,Inputs!D6:D35,B49)</f>
        <v/>
      </c>
      <c r="E49" s="21">
        <f>SUMPRODUCT((Inputs!D6:D35=B49)*IFERROR(Inputs!I6:I35*Inputs!J6:J35,0))</f>
        <v/>
      </c>
      <c r="F49" s="23">
        <f>IFERROR(E49/D49,0)</f>
        <v/>
      </c>
      <c r="G49" s="21">
        <f>IFERROR(D49/(SUMIFS(Inputs!I6:I35,Inputs!D6:D35,B49)*Assumptions!$C$10),0)</f>
        <v/>
      </c>
      <c r="H49" s="25">
        <f>IFERROR(SUMPRODUCT((Inputs!D6:D35=B49)*L6:L35)/MAX(C49,1),0)</f>
        <v/>
      </c>
      <c r="I49" s="26">
        <f>IFERROR((E49*Assumptions!$C$6-D49)/D49,0)</f>
        <v/>
      </c>
    </row>
    <row r="50">
      <c r="B50" s="27" t="inlineStr">
        <is>
          <t>Affiliate</t>
        </is>
      </c>
      <c r="C50" s="20">
        <f>COUNTIFS(Inputs!D6:D35,B50)</f>
        <v/>
      </c>
      <c r="D50" s="21">
        <f>SUMIFS(Inputs!F6:F35,Inputs!D6:D35,B50)</f>
        <v/>
      </c>
      <c r="E50" s="21">
        <f>SUMPRODUCT((Inputs!D6:D35=B50)*IFERROR(Inputs!I6:I35*Inputs!J6:J35,0))</f>
        <v/>
      </c>
      <c r="F50" s="23">
        <f>IFERROR(E50/D50,0)</f>
        <v/>
      </c>
      <c r="G50" s="21">
        <f>IFERROR(D50/(SUMIFS(Inputs!I6:I35,Inputs!D6:D35,B50)*Assumptions!$C$10),0)</f>
        <v/>
      </c>
      <c r="H50" s="25">
        <f>IFERROR(SUMPRODUCT((Inputs!D6:D35=B50)*L6:L35)/MAX(C50,1),0)</f>
        <v/>
      </c>
      <c r="I50" s="26">
        <f>IFERROR((E50*Assumptions!$C$6-D50)/D50,0)</f>
        <v/>
      </c>
    </row>
    <row r="51">
      <c r="B51" s="27" t="inlineStr">
        <is>
          <t>Other</t>
        </is>
      </c>
      <c r="C51" s="20">
        <f>COUNTIFS(Inputs!D6:D35,B51)</f>
        <v/>
      </c>
      <c r="D51" s="21">
        <f>SUMIFS(Inputs!F6:F35,Inputs!D6:D35,B51)</f>
        <v/>
      </c>
      <c r="E51" s="21">
        <f>SUMPRODUCT((Inputs!D6:D35=B51)*IFERROR(Inputs!I6:I35*Inputs!J6:J35,0))</f>
        <v/>
      </c>
      <c r="F51" s="23">
        <f>IFERROR(E51/D51,0)</f>
        <v/>
      </c>
      <c r="G51" s="21">
        <f>IFERROR(D51/(SUMIFS(Inputs!I6:I35,Inputs!D6:D35,B51)*Assumptions!$C$10),0)</f>
        <v/>
      </c>
      <c r="H51" s="25">
        <f>IFERROR(SUMPRODUCT((Inputs!D6:D35=B51)*L6:L35)/MAX(C51,1),0)</f>
        <v/>
      </c>
      <c r="I51" s="26">
        <f>IFERROR((E51*Assumptions!$C$6-D51)/D51,0)</f>
        <v/>
      </c>
    </row>
    <row r="54" ht="22" customHeight="1">
      <c r="A54" s="4" t="inlineStr">
        <is>
          <t>LIFETIME VALUE &amp; LTV/CAC</t>
        </is>
      </c>
    </row>
    <row r="55" ht="22" customHeight="1">
      <c r="B55" s="13" t="inlineStr">
        <is>
          <t>Metric</t>
        </is>
      </c>
      <c r="C55" s="13" t="inlineStr">
        <is>
          <t>Value</t>
        </is>
      </c>
      <c r="D55" s="13" t="inlineStr">
        <is>
          <t>Target</t>
        </is>
      </c>
      <c r="E55" s="13" t="inlineStr">
        <is>
          <t>Status</t>
        </is>
      </c>
    </row>
    <row r="56" ht="22" customHeight="1">
      <c r="B56" s="27" t="inlineStr">
        <is>
          <t>AOV (blended)</t>
        </is>
      </c>
      <c r="C56" s="21">
        <f>IFERROR(SUMPRODUCT(Inputs!I6:I35,Inputs!J6:J35)/SUM(Inputs!I6:I35),0)</f>
        <v/>
      </c>
      <c r="D56" s="20" t="inlineStr">
        <is>
          <t>—</t>
        </is>
      </c>
      <c r="E56" s="20">
        <f>""</f>
        <v/>
      </c>
    </row>
    <row r="57" ht="22" customHeight="1">
      <c r="B57" s="27" t="inlineStr">
        <is>
          <t>Visits per customer per year</t>
        </is>
      </c>
      <c r="C57" s="28">
        <f>Assumptions!$C$11</f>
        <v/>
      </c>
      <c r="D57" s="20" t="inlineStr">
        <is>
          <t>—</t>
        </is>
      </c>
      <c r="E57" s="20">
        <f>""</f>
        <v/>
      </c>
    </row>
    <row r="58" ht="22" customHeight="1">
      <c r="B58" s="27" t="inlineStr">
        <is>
          <t>Customer lifespan (years)</t>
        </is>
      </c>
      <c r="C58" s="28">
        <f>Assumptions!$C$12</f>
        <v/>
      </c>
      <c r="D58" s="20" t="inlineStr">
        <is>
          <t>—</t>
        </is>
      </c>
      <c r="E58" s="20">
        <f>""</f>
        <v/>
      </c>
    </row>
    <row r="59" ht="22" customHeight="1">
      <c r="B59" s="27" t="inlineStr">
        <is>
          <t>Gross margin</t>
        </is>
      </c>
      <c r="C59" s="26">
        <f>Assumptions!$C$6</f>
        <v/>
      </c>
      <c r="D59" s="20" t="inlineStr">
        <is>
          <t>—</t>
        </is>
      </c>
      <c r="E59" s="20">
        <f>""</f>
        <v/>
      </c>
    </row>
    <row r="60" ht="22" customHeight="1">
      <c r="B60" s="27" t="inlineStr">
        <is>
          <t>Estimated LTV (gross profit)</t>
        </is>
      </c>
      <c r="C60" s="21">
        <f>IFERROR(C56*C57*C58*C59,0)</f>
        <v/>
      </c>
      <c r="D60" s="20" t="inlineStr">
        <is>
          <t>—</t>
        </is>
      </c>
      <c r="E60" s="20">
        <f>""</f>
        <v/>
      </c>
    </row>
    <row r="61" ht="22" customHeight="1">
      <c r="B61" s="27" t="inlineStr">
        <is>
          <t>Blended CAC</t>
        </is>
      </c>
      <c r="C61" s="21">
        <f>IFERROR(SUM(Inputs!F6:F35)/(SUM(Inputs!I6:I35)*Assumptions!$C$10),0)</f>
        <v/>
      </c>
      <c r="D61" s="21">
        <f>Assumptions!$C$8</f>
        <v/>
      </c>
      <c r="E61" s="20" t="inlineStr"/>
    </row>
    <row r="62" ht="22" customHeight="1">
      <c r="B62" s="27" t="inlineStr">
        <is>
          <t>LTV / CAC ratio</t>
        </is>
      </c>
      <c r="C62" s="23">
        <f>IFERROR(C60/C61,0)</f>
        <v/>
      </c>
      <c r="D62" s="23">
        <f>Assumptions!$C$13</f>
        <v/>
      </c>
      <c r="E62" s="20">
        <f>IF(C62&gt;=Assumptions!$C$13,"OK",IF(C62&gt;=Assumptions!$C$13*0.7,"REVIEW","CRITICAL"))</f>
        <v/>
      </c>
    </row>
    <row r="65" ht="22" customHeight="1">
      <c r="A65" s="4" t="inlineStr">
        <is>
          <t>KILL LIST — CAMPAIGNS WITH NEGATIVE CONTRIBUTION ROI</t>
        </is>
      </c>
    </row>
    <row r="66" ht="22" customHeight="1">
      <c r="B66" s="13" t="inlineStr">
        <is>
          <t>Rank</t>
        </is>
      </c>
      <c r="C66" s="13" t="inlineStr">
        <is>
          <t>Campaign</t>
        </is>
      </c>
      <c r="D66" s="13" t="inlineStr">
        <is>
          <t>Spend</t>
        </is>
      </c>
      <c r="E66" s="13" t="inlineStr">
        <is>
          <t>Contribution ROI</t>
        </is>
      </c>
      <c r="F66" s="13" t="inlineStr">
        <is>
          <t>Recommended action</t>
        </is>
      </c>
    </row>
    <row r="67" ht="22" customHeight="1">
      <c r="B67" s="20" t="n">
        <v>1</v>
      </c>
      <c r="C67" s="20">
        <f>IFERROR(INDEX($B$6:$B$35,MATCH(SMALL($M$6:$M$35,1),$M$6:$M$35,0)),"")</f>
        <v/>
      </c>
      <c r="D67" s="21">
        <f>IFERROR(INDEX($C$6:$C$35,MATCH(SMALL($M$6:$M$35,1),$M$6:$M$35,0)),"")</f>
        <v/>
      </c>
      <c r="E67" s="26">
        <f>IFERROR(SMALL($M$6:$M$35,1),"")</f>
        <v/>
      </c>
      <c r="F67" s="20">
        <f>IF(E67="","",IF(E67&lt;0,"Cut or rebuild creative + offer",IF(E67&lt;Assumptions!$C$9,"Optimise CR or reduce spend","Hold")))</f>
        <v/>
      </c>
    </row>
    <row r="68" ht="22" customHeight="1">
      <c r="B68" s="20" t="n">
        <v>2</v>
      </c>
      <c r="C68" s="20">
        <f>IFERROR(INDEX($B$6:$B$35,MATCH(SMALL($M$6:$M$35,2),$M$6:$M$35,0)),"")</f>
        <v/>
      </c>
      <c r="D68" s="21">
        <f>IFERROR(INDEX($C$6:$C$35,MATCH(SMALL($M$6:$M$35,2),$M$6:$M$35,0)),"")</f>
        <v/>
      </c>
      <c r="E68" s="26">
        <f>IFERROR(SMALL($M$6:$M$35,2),"")</f>
        <v/>
      </c>
      <c r="F68" s="20">
        <f>IF(E68="","",IF(E68&lt;0,"Cut or rebuild creative + offer",IF(E68&lt;Assumptions!$C$9,"Optimise CR or reduce spend","Hold")))</f>
        <v/>
      </c>
    </row>
    <row r="69" ht="22" customHeight="1">
      <c r="B69" s="20" t="n">
        <v>3</v>
      </c>
      <c r="C69" s="20">
        <f>IFERROR(INDEX($B$6:$B$35,MATCH(SMALL($M$6:$M$35,3),$M$6:$M$35,0)),"")</f>
        <v/>
      </c>
      <c r="D69" s="21">
        <f>IFERROR(INDEX($C$6:$C$35,MATCH(SMALL($M$6:$M$35,3),$M$6:$M$35,0)),"")</f>
        <v/>
      </c>
      <c r="E69" s="26">
        <f>IFERROR(SMALL($M$6:$M$35,3),"")</f>
        <v/>
      </c>
      <c r="F69" s="20">
        <f>IF(E69="","",IF(E69&lt;0,"Cut or rebuild creative + offer",IF(E69&lt;Assumptions!$C$9,"Optimise CR or reduce spend","Hold")))</f>
        <v/>
      </c>
    </row>
    <row r="70" ht="22" customHeight="1">
      <c r="B70" s="20" t="n">
        <v>4</v>
      </c>
      <c r="C70" s="20">
        <f>IFERROR(INDEX($B$6:$B$35,MATCH(SMALL($M$6:$M$35,4),$M$6:$M$35,0)),"")</f>
        <v/>
      </c>
      <c r="D70" s="21">
        <f>IFERROR(INDEX($C$6:$C$35,MATCH(SMALL($M$6:$M$35,4),$M$6:$M$35,0)),"")</f>
        <v/>
      </c>
      <c r="E70" s="26">
        <f>IFERROR(SMALL($M$6:$M$35,4),"")</f>
        <v/>
      </c>
      <c r="F70" s="20">
        <f>IF(E70="","",IF(E70&lt;0,"Cut or rebuild creative + offer",IF(E70&lt;Assumptions!$C$9,"Optimise CR or reduce spend","Hold")))</f>
        <v/>
      </c>
    </row>
    <row r="71" ht="22" customHeight="1">
      <c r="B71" s="20" t="n">
        <v>5</v>
      </c>
      <c r="C71" s="20">
        <f>IFERROR(INDEX($B$6:$B$35,MATCH(SMALL($M$6:$M$35,5),$M$6:$M$35,0)),"")</f>
        <v/>
      </c>
      <c r="D71" s="21">
        <f>IFERROR(INDEX($C$6:$C$35,MATCH(SMALL($M$6:$M$35,5),$M$6:$M$35,0)),"")</f>
        <v/>
      </c>
      <c r="E71" s="26">
        <f>IFERROR(SMALL($M$6:$M$35,5),"")</f>
        <v/>
      </c>
      <c r="F71" s="20">
        <f>IF(E71="","",IF(E71&lt;0,"Cut or rebuild creative + offer",IF(E71&lt;Assumptions!$C$9,"Optimise CR or reduce spend","Hold")))</f>
        <v/>
      </c>
    </row>
    <row r="72" ht="22" customHeight="1">
      <c r="B72" s="20" t="n">
        <v>6</v>
      </c>
      <c r="C72" s="20">
        <f>IFERROR(INDEX($B$6:$B$35,MATCH(SMALL($M$6:$M$35,6),$M$6:$M$35,0)),"")</f>
        <v/>
      </c>
      <c r="D72" s="21">
        <f>IFERROR(INDEX($C$6:$C$35,MATCH(SMALL($M$6:$M$35,6),$M$6:$M$35,0)),"")</f>
        <v/>
      </c>
      <c r="E72" s="26">
        <f>IFERROR(SMALL($M$6:$M$35,6),"")</f>
        <v/>
      </c>
      <c r="F72" s="20">
        <f>IF(E72="","",IF(E72&lt;0,"Cut or rebuild creative + offer",IF(E72&lt;Assumptions!$C$9,"Optimise CR or reduce spend","Hold")))</f>
        <v/>
      </c>
    </row>
    <row r="73" ht="22" customHeight="1">
      <c r="B73" s="20" t="n">
        <v>7</v>
      </c>
      <c r="C73" s="20">
        <f>IFERROR(INDEX($B$6:$B$35,MATCH(SMALL($M$6:$M$35,7),$M$6:$M$35,0)),"")</f>
        <v/>
      </c>
      <c r="D73" s="21">
        <f>IFERROR(INDEX($C$6:$C$35,MATCH(SMALL($M$6:$M$35,7),$M$6:$M$35,0)),"")</f>
        <v/>
      </c>
      <c r="E73" s="26">
        <f>IFERROR(SMALL($M$6:$M$35,7),"")</f>
        <v/>
      </c>
      <c r="F73" s="20">
        <f>IF(E73="","",IF(E73&lt;0,"Cut or rebuild creative + offer",IF(E73&lt;Assumptions!$C$9,"Optimise CR or reduce spend","Hold")))</f>
        <v/>
      </c>
    </row>
    <row r="74" ht="22" customHeight="1">
      <c r="B74" s="20" t="n">
        <v>8</v>
      </c>
      <c r="C74" s="20">
        <f>IFERROR(INDEX($B$6:$B$35,MATCH(SMALL($M$6:$M$35,8),$M$6:$M$35,0)),"")</f>
        <v/>
      </c>
      <c r="D74" s="21">
        <f>IFERROR(INDEX($C$6:$C$35,MATCH(SMALL($M$6:$M$35,8),$M$6:$M$35,0)),"")</f>
        <v/>
      </c>
      <c r="E74" s="26">
        <f>IFERROR(SMALL($M$6:$M$35,8),"")</f>
        <v/>
      </c>
      <c r="F74" s="20">
        <f>IF(E74="","",IF(E74&lt;0,"Cut or rebuild creative + offer",IF(E74&lt;Assumptions!$C$9,"Optimise CR or reduce spend","Hold")))</f>
        <v/>
      </c>
    </row>
    <row r="77" ht="22" customHeight="1">
      <c r="A77" s="4" t="inlineStr">
        <is>
          <t>SENSITIVITY · PAYBACK (DAYS) AT VARIED AOV × GROSS MARGIN</t>
        </is>
      </c>
    </row>
    <row r="78" ht="22" customHeight="1">
      <c r="B78" s="13" t="inlineStr">
        <is>
          <t>Margin \ AOV multiplier</t>
        </is>
      </c>
      <c r="C78" s="29" t="n">
        <v>0.6</v>
      </c>
      <c r="D78" s="29" t="n">
        <v>0.8</v>
      </c>
      <c r="E78" s="29" t="n">
        <v>1</v>
      </c>
      <c r="F78" s="29" t="n">
        <v>1.2</v>
      </c>
      <c r="G78" s="29" t="n">
        <v>1.4</v>
      </c>
    </row>
    <row r="79">
      <c r="B79" s="30" t="n">
        <v>0.55</v>
      </c>
      <c r="C79" s="25">
        <f>IFERROR(C61/(C56*0.6*0.55)*Assumptions!$C$7,0)</f>
        <v/>
      </c>
      <c r="D79" s="25">
        <f>IFERROR(C61/(C56*0.8*0.55)*Assumptions!$C$7,0)</f>
        <v/>
      </c>
      <c r="E79" s="25">
        <f>IFERROR(C61/(C56*1.0*0.55)*Assumptions!$C$7,0)</f>
        <v/>
      </c>
      <c r="F79" s="25">
        <f>IFERROR(C61/(C56*1.2*0.55)*Assumptions!$C$7,0)</f>
        <v/>
      </c>
      <c r="G79" s="25">
        <f>IFERROR(C61/(C56*1.4*0.55)*Assumptions!$C$7,0)</f>
        <v/>
      </c>
    </row>
    <row r="80">
      <c r="B80" s="30" t="n">
        <v>0.62</v>
      </c>
      <c r="C80" s="25">
        <f>IFERROR(C61/(C56*0.6*0.62)*Assumptions!$C$7,0)</f>
        <v/>
      </c>
      <c r="D80" s="25">
        <f>IFERROR(C61/(C56*0.8*0.62)*Assumptions!$C$7,0)</f>
        <v/>
      </c>
      <c r="E80" s="25">
        <f>IFERROR(C61/(C56*1.0*0.62)*Assumptions!$C$7,0)</f>
        <v/>
      </c>
      <c r="F80" s="25">
        <f>IFERROR(C61/(C56*1.2*0.62)*Assumptions!$C$7,0)</f>
        <v/>
      </c>
      <c r="G80" s="25">
        <f>IFERROR(C61/(C56*1.4*0.62)*Assumptions!$C$7,0)</f>
        <v/>
      </c>
    </row>
    <row r="81">
      <c r="B81" s="30" t="n">
        <v>0.68</v>
      </c>
      <c r="C81" s="25">
        <f>IFERROR(C61/(C56*0.6*0.68)*Assumptions!$C$7,0)</f>
        <v/>
      </c>
      <c r="D81" s="25">
        <f>IFERROR(C61/(C56*0.8*0.68)*Assumptions!$C$7,0)</f>
        <v/>
      </c>
      <c r="E81" s="25">
        <f>IFERROR(C61/(C56*1.0*0.68)*Assumptions!$C$7,0)</f>
        <v/>
      </c>
      <c r="F81" s="25">
        <f>IFERROR(C61/(C56*1.2*0.68)*Assumptions!$C$7,0)</f>
        <v/>
      </c>
      <c r="G81" s="25">
        <f>IFERROR(C61/(C56*1.4*0.68)*Assumptions!$C$7,0)</f>
        <v/>
      </c>
    </row>
    <row r="82">
      <c r="B82" s="30" t="n">
        <v>0.74</v>
      </c>
      <c r="C82" s="25">
        <f>IFERROR(C61/(C56*0.6*0.74)*Assumptions!$C$7,0)</f>
        <v/>
      </c>
      <c r="D82" s="25">
        <f>IFERROR(C61/(C56*0.8*0.74)*Assumptions!$C$7,0)</f>
        <v/>
      </c>
      <c r="E82" s="25">
        <f>IFERROR(C61/(C56*1.0*0.74)*Assumptions!$C$7,0)</f>
        <v/>
      </c>
      <c r="F82" s="25">
        <f>IFERROR(C61/(C56*1.2*0.74)*Assumptions!$C$7,0)</f>
        <v/>
      </c>
      <c r="G82" s="25">
        <f>IFERROR(C61/(C56*1.4*0.74)*Assumptions!$C$7,0)</f>
        <v/>
      </c>
    </row>
    <row r="83">
      <c r="B83" s="30" t="n">
        <v>0.8</v>
      </c>
      <c r="C83" s="25">
        <f>IFERROR(C61/(C56*0.6*0.8)*Assumptions!$C$7,0)</f>
        <v/>
      </c>
      <c r="D83" s="25">
        <f>IFERROR(C61/(C56*0.8*0.8)*Assumptions!$C$7,0)</f>
        <v/>
      </c>
      <c r="E83" s="25">
        <f>IFERROR(C61/(C56*1.0*0.8)*Assumptions!$C$7,0)</f>
        <v/>
      </c>
      <c r="F83" s="25">
        <f>IFERROR(C61/(C56*1.2*0.8)*Assumptions!$C$7,0)</f>
        <v/>
      </c>
      <c r="G83" s="25">
        <f>IFERROR(C61/(C56*1.4*0.8)*Assumptions!$C$7,0)</f>
        <v/>
      </c>
    </row>
  </sheetData>
  <mergeCells count="7">
    <mergeCell ref="A77:N77"/>
    <mergeCell ref="A4:N4"/>
    <mergeCell ref="A38:N38"/>
    <mergeCell ref="A54:N54"/>
    <mergeCell ref="A2:N2"/>
    <mergeCell ref="A65:N65"/>
    <mergeCell ref="A1:N1"/>
  </mergeCells>
  <conditionalFormatting sqref="I6:I35">
    <cfRule type="cellIs" priority="1" operator="lessThan" dxfId="2" stopIfTrue="0">
      <formula>2.0</formula>
    </cfRule>
  </conditionalFormatting>
  <conditionalFormatting sqref="M6:M35">
    <cfRule type="cellIs" priority="2" operator="lessThan" dxfId="2" stopIfTrue="0">
      <formula>0</formula>
    </cfRule>
  </conditionalFormatting>
  <conditionalFormatting sqref="L6:L35">
    <cfRule type="cellIs" priority="3" operator="greaterThan" dxfId="2" stopIfTrue="0">
      <formula>90</formula>
    </cfRule>
  </conditionalFormatting>
  <conditionalFormatting sqref="D40:D51">
    <cfRule type="dataBar" priority="4">
      <dataBar showValue="1">
        <cfvo type="min"/>
        <cfvo type="max"/>
        <color rgb="00C9A961"/>
      </dataBar>
    </cfRule>
  </conditionalFormatting>
  <conditionalFormatting sqref="E56:E62">
    <cfRule type="cellIs" priority="5" operator="equal" dxfId="0" stopIfTrue="0">
      <formula>"OK"</formula>
    </cfRule>
    <cfRule type="cellIs" priority="6" operator="equal" dxfId="1" stopIfTrue="0">
      <formula>"REVIEW"</formula>
    </cfRule>
    <cfRule type="cellIs" priority="7" operator="equal" dxfId="2" stopIfTrue="0">
      <formula>"CRITICAL"</formula>
    </cfRule>
  </conditionalFormatting>
  <conditionalFormatting sqref="F67:F74">
    <cfRule type="cellIs" priority="8" operator="equal" dxfId="0" stopIfTrue="0">
      <formula>"Hold"</formula>
    </cfRule>
    <cfRule type="cellIs" priority="9" operator="equal" dxfId="1" stopIfTrue="0">
      <formula>"Optimise CR or reduce spend"</formula>
    </cfRule>
    <cfRule type="cellIs" priority="10" operator="equal" dxfId="2" stopIfTrue="0">
      <formula>"Cut or rebuild creative + offer"</formula>
    </cfRule>
  </conditionalFormatting>
  <conditionalFormatting sqref="C79:G83">
    <cfRule type="cellIs" priority="11" operator="lessThan" dxfId="0" stopIfTrue="0">
      <formula>30</formula>
    </cfRule>
    <cfRule type="cellIs" priority="12" operator="greaterThan" dxfId="2" stopIfTrue="0">
      <formula>90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Integrity and sanity gates · resolve every REVIEW before sign-off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3" t="inlineStr">
        <is>
          <t>#</t>
        </is>
      </c>
      <c r="C5" s="13" t="inlineStr">
        <is>
          <t>Check</t>
        </is>
      </c>
      <c r="D5" s="13" t="inlineStr">
        <is>
          <t>Status</t>
        </is>
      </c>
      <c r="E5" s="13" t="inlineStr">
        <is>
          <t>Value</t>
        </is>
      </c>
      <c r="F5" s="13" t="inlineStr">
        <is>
          <t>Threshold</t>
        </is>
      </c>
      <c r="G5" s="13" t="inlineStr">
        <is>
          <t>Action</t>
        </is>
      </c>
    </row>
    <row r="6" ht="30" customHeight="1">
      <c r="B6" s="31" t="n">
        <v>1</v>
      </c>
      <c r="C6" s="31" t="inlineStr">
        <is>
          <t>Every campaign has spend &gt; 0</t>
        </is>
      </c>
      <c r="D6" s="31">
        <f>IF(E6=F6,"OK","REVIEW")</f>
        <v/>
      </c>
      <c r="E6" s="32">
        <f>SUMPRODUCT((Inputs!B6:B35&lt;&gt;"")*((Inputs!F6:F35="")+(Inputs!F6:F35&lt;=0)))</f>
        <v/>
      </c>
      <c r="F6" s="32" t="n">
        <v>0</v>
      </c>
      <c r="G6" s="31" t="inlineStr">
        <is>
          <t>Set spend before evaluation.</t>
        </is>
      </c>
    </row>
    <row r="7" ht="30" customHeight="1">
      <c r="B7" s="31" t="n">
        <v>2</v>
      </c>
      <c r="C7" s="31" t="inlineStr">
        <is>
          <t>Every campaign has conversions set (zero is allowed but explicit)</t>
        </is>
      </c>
      <c r="D7" s="31">
        <f>IF(E7=F7,"OK","REVIEW")</f>
        <v/>
      </c>
      <c r="E7" s="32">
        <f>SUMPRODUCT((Inputs!B6:B35&lt;&gt;"")*(Inputs!I6:I35=""))</f>
        <v/>
      </c>
      <c r="F7" s="32" t="n">
        <v>0</v>
      </c>
      <c r="G7" s="31" t="inlineStr">
        <is>
          <t>Even 0 is acceptable — but it must be set.</t>
        </is>
      </c>
    </row>
    <row r="8" ht="30" customHeight="1">
      <c r="B8" s="31" t="n">
        <v>3</v>
      </c>
      <c r="C8" s="31" t="inlineStr">
        <is>
          <t>AOV set wherever conversions &gt; 0</t>
        </is>
      </c>
      <c r="D8" s="31">
        <f>IF(E8=F8,"OK","REVIEW")</f>
        <v/>
      </c>
      <c r="E8" s="32">
        <f>SUMPRODUCT((Inputs!I6:I35&gt;0)*(Inputs!J6:J35=""))</f>
        <v/>
      </c>
      <c r="F8" s="32" t="n">
        <v>0</v>
      </c>
      <c r="G8" s="31" t="inlineStr">
        <is>
          <t>Missing AOV makes revenue and ROAS = 0 by default.</t>
        </is>
      </c>
    </row>
    <row r="9" ht="30" customHeight="1">
      <c r="B9" s="31" t="n">
        <v>4</v>
      </c>
      <c r="C9" s="31" t="inlineStr">
        <is>
          <t>No ROAS &gt; 10× without notes (likely attribution leak)</t>
        </is>
      </c>
      <c r="D9" s="31">
        <f>IF(E9=F9,"OK","REVIEW")</f>
        <v/>
      </c>
      <c r="E9" s="32">
        <f>SUMPRODUCT((Calc!I6:I35&gt;10)*(Inputs!M6:M35=""))</f>
        <v/>
      </c>
      <c r="F9" s="32" t="n">
        <v>0</v>
      </c>
      <c r="G9" s="31" t="inlineStr">
        <is>
          <t>ROAS &gt; 10× without notes usually means attribution leak.</t>
        </is>
      </c>
    </row>
    <row r="10" ht="30" customHeight="1">
      <c r="B10" s="31" t="n">
        <v>5</v>
      </c>
      <c r="C10" s="31" t="inlineStr">
        <is>
          <t>Blended CAC ≤ ceiling</t>
        </is>
      </c>
      <c r="D10" s="31">
        <f>IF(E10&lt;=F10,"OK","REVIEW")</f>
        <v/>
      </c>
      <c r="E10" s="33">
        <f>IFERROR(SUM(Inputs!F6:F35)/(SUM(Inputs!I6:I35)*Assumptions!$C$10),0)</f>
        <v/>
      </c>
      <c r="F10" s="33">
        <f>Assumptions!$C$8</f>
        <v/>
      </c>
      <c r="G10" s="31" t="inlineStr">
        <is>
          <t>Above ceiling: improve CR or shift channel mix.</t>
        </is>
      </c>
    </row>
    <row r="11" ht="30" customHeight="1">
      <c r="B11" s="31" t="n">
        <v>6</v>
      </c>
      <c r="C11" s="31" t="inlineStr">
        <is>
          <t>Blended ROAS ≥ floor</t>
        </is>
      </c>
      <c r="D11" s="31">
        <f>IF(E11&gt;=F11,"OK","REVIEW")</f>
        <v/>
      </c>
      <c r="E11" s="34">
        <f>IFERROR(SUM(Calc!E6:E35)/SUM(Inputs!F6:F35),0)</f>
        <v/>
      </c>
      <c r="F11" s="34">
        <f>Assumptions!$C$14</f>
        <v/>
      </c>
      <c r="G11" s="31" t="inlineStr">
        <is>
          <t>Below floor: cut weakest campaigns first.</t>
        </is>
      </c>
    </row>
    <row r="12" ht="30" customHeight="1">
      <c r="B12" s="31" t="n">
        <v>7</v>
      </c>
      <c r="C12" s="31" t="inlineStr">
        <is>
          <t>Contribution-margin ROI ≥ floor</t>
        </is>
      </c>
      <c r="D12" s="31">
        <f>IF(E12&gt;=F12,"OK","REVIEW")</f>
        <v/>
      </c>
      <c r="E12" s="35">
        <f>IFERROR((SUM(Calc!E6:E35)*Assumptions!$C$6-SUM(Inputs!F6:F35))/SUM(Inputs!F6:F35),0)</f>
        <v/>
      </c>
      <c r="F12" s="35">
        <f>Assumptions!$C$9</f>
        <v/>
      </c>
      <c r="G12" s="31" t="inlineStr">
        <is>
          <t>Negative contribution ROI is unsustainable.</t>
        </is>
      </c>
    </row>
    <row r="13" ht="30" customHeight="1">
      <c r="B13" s="31" t="n">
        <v>8</v>
      </c>
      <c r="C13" s="31" t="inlineStr">
        <is>
          <t>Avg payback ≤ ceiling (days)</t>
        </is>
      </c>
      <c r="D13" s="31">
        <f>IF(E13&lt;=F13,"OK","REVIEW")</f>
        <v/>
      </c>
      <c r="E13" s="36">
        <f>IFERROR(AVERAGE(Calc!L6:L35),0)</f>
        <v/>
      </c>
      <c r="F13" s="36">
        <f>Assumptions!$C$15</f>
        <v/>
      </c>
      <c r="G13" s="31" t="inlineStr">
        <is>
          <t>Payback too long — push for higher AOV or repeat.</t>
        </is>
      </c>
    </row>
    <row r="14" ht="30" customHeight="1">
      <c r="B14" s="31" t="n">
        <v>9</v>
      </c>
      <c r="C14" s="31" t="inlineStr">
        <is>
          <t>LTV / CAC ≥ target</t>
        </is>
      </c>
      <c r="D14" s="31">
        <f>IF(E14&gt;=F14,"OK","REVIEW")</f>
        <v/>
      </c>
      <c r="E14" s="34">
        <f>Calc!C62</f>
        <v/>
      </c>
      <c r="F14" s="34">
        <f>Assumptions!$C$13</f>
        <v/>
      </c>
      <c r="G14" s="31" t="inlineStr">
        <is>
          <t>Below target — focus retention before scaling spend.</t>
        </is>
      </c>
    </row>
    <row r="15" ht="30" customHeight="1">
      <c r="B15" s="31" t="n">
        <v>10</v>
      </c>
      <c r="C15" s="31" t="inlineStr">
        <is>
          <t>No campaign IDs duplicated</t>
        </is>
      </c>
      <c r="D15" s="31">
        <f>IF(E15=F15,"OK","REVIEW")</f>
        <v/>
      </c>
      <c r="E15" s="37">
        <f>SUMPRODUCT((Inputs!B6:B35&lt;&gt;"")/COUNTIF(Inputs!B6:B35,Inputs!B6:B35&amp;""))</f>
        <v/>
      </c>
      <c r="F15" s="37">
        <f>=COUNTA(Inputs!B6:B35)</f>
        <v/>
      </c>
      <c r="G15" s="31" t="inlineStr">
        <is>
          <t>Duplicate IDs corrupt rollups — make every ID unique.</t>
        </is>
      </c>
    </row>
    <row r="18" ht="22" customHeight="1">
      <c r="A18" s="4" t="inlineStr">
        <is>
          <t>PASS SCORE</t>
        </is>
      </c>
    </row>
    <row r="19">
      <c r="B19" s="38" t="inlineStr">
        <is>
          <t>Audit pass rate</t>
        </is>
      </c>
      <c r="C19" s="39">
        <f>IFERROR(COUNTIF(D6:D15,"OK")/COUNTA(D6:D15),0)</f>
        <v/>
      </c>
      <c r="D19">
        <f>IF(C19&gt;=Assumptions!$C$16,"READY FOR SIGN-OFF","NOT READY")</f>
        <v/>
      </c>
    </row>
  </sheetData>
  <mergeCells count="4">
    <mergeCell ref="A18:N18"/>
    <mergeCell ref="A4:N4"/>
    <mergeCell ref="A2:N2"/>
    <mergeCell ref="A1:N1"/>
  </mergeCells>
  <conditionalFormatting sqref="D6:D15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conditionalFormatting sqref="D19">
    <cfRule type="cellIs" priority="10" operator="equal" dxfId="0" stopIfTrue="0">
      <formula>"READY FOR SIGN-OFF"</formula>
    </cfRule>
    <cfRule type="cellIs" priority="11" operator="equal" dxfId="2" stopIfTrue="0">
      <formula>"NOT READY"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2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3" t="inlineStr">
        <is>
          <t>Driver</t>
        </is>
      </c>
      <c r="C5" s="13" t="inlineStr">
        <is>
          <t>Base case</t>
        </is>
      </c>
      <c r="D5" s="13" t="inlineStr">
        <is>
          <t>Conservative</t>
        </is>
      </c>
      <c r="E5" s="13" t="inlineStr">
        <is>
          <t>Aggressive</t>
        </is>
      </c>
      <c r="F5" s="13" t="inlineStr">
        <is>
          <t>Unit</t>
        </is>
      </c>
      <c r="G5" s="13" t="inlineStr">
        <is>
          <t>Notes</t>
        </is>
      </c>
    </row>
    <row r="6" ht="26" customHeight="1">
      <c r="B6" s="27" t="inlineStr">
        <is>
          <t>Gross margin</t>
        </is>
      </c>
      <c r="C6" s="40" t="n">
        <v>0.68</v>
      </c>
      <c r="D6" s="40" t="n">
        <v>0.6</v>
      </c>
      <c r="E6" s="40" t="n">
        <v>0.74</v>
      </c>
      <c r="F6" s="20" t="inlineStr">
        <is>
          <t>%</t>
        </is>
      </c>
      <c r="G6" s="31" t="inlineStr">
        <is>
          <t>Food and packaging swings drive this.</t>
        </is>
      </c>
    </row>
    <row r="7" ht="26" customHeight="1">
      <c r="B7" s="27" t="inlineStr">
        <is>
          <t>AOV multiplier vs base</t>
        </is>
      </c>
      <c r="C7" s="41" t="n">
        <v>1</v>
      </c>
      <c r="D7" s="41" t="n">
        <v>0.85</v>
      </c>
      <c r="E7" s="41" t="n">
        <v>1.2</v>
      </c>
      <c r="F7" s="20" t="inlineStr">
        <is>
          <t>x</t>
        </is>
      </c>
      <c r="G7" s="31" t="inlineStr">
        <is>
          <t>Bundle architecture and upsells push AOV.</t>
        </is>
      </c>
    </row>
    <row r="8" ht="26" customHeight="1">
      <c r="B8" s="27" t="inlineStr">
        <is>
          <t>Conversion rate (clicks → orders)</t>
        </is>
      </c>
      <c r="C8" s="40" t="n">
        <v>0.03</v>
      </c>
      <c r="D8" s="40" t="n">
        <v>0.015</v>
      </c>
      <c r="E8" s="40" t="n">
        <v>0.06</v>
      </c>
      <c r="F8" s="20" t="inlineStr">
        <is>
          <t>%</t>
        </is>
      </c>
      <c r="G8" s="31" t="inlineStr">
        <is>
          <t>Creative + LP + funnel quality.</t>
        </is>
      </c>
    </row>
    <row r="9" ht="26" customHeight="1">
      <c r="B9" s="27" t="inlineStr">
        <is>
          <t>Days between repeat visit</t>
        </is>
      </c>
      <c r="C9" s="41" t="n">
        <v>42</v>
      </c>
      <c r="D9" s="41" t="n">
        <v>60</v>
      </c>
      <c r="E9" s="41" t="n">
        <v>28</v>
      </c>
      <c r="F9" s="20" t="inlineStr">
        <is>
          <t>Days</t>
        </is>
      </c>
      <c r="G9" s="31" t="inlineStr">
        <is>
          <t>CRM and loyalty move this materially.</t>
        </is>
      </c>
    </row>
    <row r="10" ht="26" customHeight="1">
      <c r="B10" s="27" t="inlineStr">
        <is>
          <t>First-time share of conversions</t>
        </is>
      </c>
      <c r="C10" s="40" t="n">
        <v>0.85</v>
      </c>
      <c r="D10" s="40" t="n">
        <v>0.7</v>
      </c>
      <c r="E10" s="40" t="n">
        <v>0.92</v>
      </c>
      <c r="F10" s="20" t="inlineStr">
        <is>
          <t>%</t>
        </is>
      </c>
      <c r="G10" s="31" t="inlineStr">
        <is>
          <t>Higher repeat → fewer 'new' customers per spend.</t>
        </is>
      </c>
    </row>
    <row r="12" ht="22" customHeight="1">
      <c r="A12" s="4" t="inlineStr">
        <is>
          <t>READING THE SCENARIOS</t>
        </is>
      </c>
    </row>
    <row r="13">
      <c r="B13" s="42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4"/>
    <row r="15"/>
    <row r="17" ht="22" customHeight="1">
      <c r="A17" s="4" t="inlineStr">
        <is>
          <t>DECISION RULES</t>
        </is>
      </c>
    </row>
    <row r="18" ht="32" customHeight="1">
      <c r="B18" s="43" t="inlineStr">
        <is>
          <t>•</t>
        </is>
      </c>
      <c r="C18" s="12" t="inlineStr">
        <is>
          <t>If we are tracking below the conservative case for two consecutive review cycles, escalate to the founder and trigger the conservative-case action plan.</t>
        </is>
      </c>
    </row>
    <row r="19" ht="32" customHeight="1">
      <c r="B19" s="43" t="inlineStr">
        <is>
          <t>•</t>
        </is>
      </c>
      <c r="C19" s="12" t="inlineStr">
        <is>
          <t>If we are tracking above the base case, do not unlock aggressive spend until the third consecutive review cycle confirms the trend.</t>
        </is>
      </c>
    </row>
    <row r="20" ht="32" customHeight="1">
      <c r="B20" s="43" t="inlineStr">
        <is>
          <t>•</t>
        </is>
      </c>
      <c r="C20" s="12" t="inlineStr">
        <is>
          <t>Document any change to a driver in the Document Control change log so reviewers can see what moved and why.</t>
        </is>
      </c>
    </row>
  </sheetData>
  <mergeCells count="9">
    <mergeCell ref="A17:N17"/>
    <mergeCell ref="C20:G20"/>
    <mergeCell ref="A12:N12"/>
    <mergeCell ref="A4:N4"/>
    <mergeCell ref="A2:N2"/>
    <mergeCell ref="C19:G19"/>
    <mergeCell ref="C18:G18"/>
    <mergeCell ref="B13:G15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3" t="inlineStr">
        <is>
          <t>#</t>
        </is>
      </c>
      <c r="C5" s="13" t="inlineStr">
        <is>
          <t>Action / decision</t>
        </is>
      </c>
      <c r="D5" s="13" t="inlineStr">
        <is>
          <t>Owner</t>
        </is>
      </c>
      <c r="E5" s="13" t="inlineStr">
        <is>
          <t>Priority</t>
        </is>
      </c>
      <c r="F5" s="13" t="inlineStr">
        <is>
          <t>Due date</t>
        </is>
      </c>
      <c r="G5" s="13" t="inlineStr">
        <is>
          <t>Status</t>
        </is>
      </c>
      <c r="H5" s="13" t="inlineStr">
        <is>
          <t>Expected impact</t>
        </is>
      </c>
    </row>
    <row r="6" ht="30" customHeight="1">
      <c r="B6" s="31" t="n">
        <v>1</v>
      </c>
      <c r="C6" s="31" t="inlineStr">
        <is>
          <t>Tighten weekly performance review cadence with operations lead</t>
        </is>
      </c>
      <c r="D6" s="14" t="inlineStr">
        <is>
          <t>Marketing Lead</t>
        </is>
      </c>
      <c r="E6" s="14" t="inlineStr">
        <is>
          <t>High</t>
        </is>
      </c>
      <c r="F6" s="14" t="inlineStr">
        <is>
          <t>Next Monday</t>
        </is>
      </c>
      <c r="G6" s="14" t="inlineStr">
        <is>
          <t>Open</t>
        </is>
      </c>
      <c r="H6" s="31" t="inlineStr">
        <is>
          <t>Faster spotting of channel drift; reduces overspend risk</t>
        </is>
      </c>
    </row>
    <row r="7" ht="30" customHeight="1">
      <c r="B7" s="31" t="n">
        <v>2</v>
      </c>
      <c r="C7" s="31" t="inlineStr">
        <is>
          <t>Re-baseline CAC target against last 90 days; replace stale assumption</t>
        </is>
      </c>
      <c r="D7" s="14" t="inlineStr">
        <is>
          <t>Founder</t>
        </is>
      </c>
      <c r="E7" s="14" t="inlineStr">
        <is>
          <t>High</t>
        </is>
      </c>
      <c r="F7" s="14" t="inlineStr">
        <is>
          <t>This week</t>
        </is>
      </c>
      <c r="G7" s="14" t="inlineStr">
        <is>
          <t>In progress</t>
        </is>
      </c>
      <c r="H7" s="31" t="inlineStr">
        <is>
          <t>Budget decisions that match current reality</t>
        </is>
      </c>
    </row>
    <row r="8" ht="30" customHeight="1">
      <c r="B8" s="31" t="n">
        <v>3</v>
      </c>
      <c r="C8" s="31" t="inlineStr">
        <is>
          <t>Audit delivery platform menu photography vs in-store standard</t>
        </is>
      </c>
      <c r="D8" s="14" t="inlineStr">
        <is>
          <t>Brand Lead</t>
        </is>
      </c>
      <c r="E8" s="14" t="inlineStr">
        <is>
          <t>Medium</t>
        </is>
      </c>
      <c r="F8" s="14" t="inlineStr">
        <is>
          <t>Within 2 weeks</t>
        </is>
      </c>
      <c r="G8" s="14" t="inlineStr">
        <is>
          <t>Open</t>
        </is>
      </c>
      <c r="H8" s="31" t="inlineStr">
        <is>
          <t>Higher menu CTR; better delivery conversion</t>
        </is>
      </c>
    </row>
    <row r="9" ht="30" customHeight="1">
      <c r="B9" s="31" t="n">
        <v>4</v>
      </c>
      <c r="C9" s="31" t="inlineStr">
        <is>
          <t>Stand up monthly review pack using this workbook as the source</t>
        </is>
      </c>
      <c r="D9" s="14" t="inlineStr">
        <is>
          <t>Ops Lead</t>
        </is>
      </c>
      <c r="E9" s="14" t="inlineStr">
        <is>
          <t>Medium</t>
        </is>
      </c>
      <c r="F9" s="14" t="inlineStr">
        <is>
          <t>Next 30 days</t>
        </is>
      </c>
      <c r="G9" s="14" t="inlineStr">
        <is>
          <t>Open</t>
        </is>
      </c>
      <c r="H9" s="31" t="inlineStr">
        <is>
          <t>Faster decisions, fewer reactive moves</t>
        </is>
      </c>
    </row>
    <row r="10" ht="24" customHeight="1">
      <c r="B10" s="31" t="n"/>
      <c r="C10" s="31" t="n"/>
      <c r="D10" s="14" t="n"/>
      <c r="E10" s="14" t="n"/>
      <c r="F10" s="14" t="n"/>
      <c r="G10" s="14" t="n"/>
      <c r="H10" s="31" t="n"/>
    </row>
    <row r="11" ht="24" customHeight="1">
      <c r="B11" s="31" t="n"/>
      <c r="C11" s="31" t="n"/>
      <c r="D11" s="14" t="n"/>
      <c r="E11" s="14" t="n"/>
      <c r="F11" s="14" t="n"/>
      <c r="G11" s="14" t="n"/>
      <c r="H11" s="31" t="n"/>
    </row>
    <row r="12" ht="24" customHeight="1">
      <c r="B12" s="31" t="n"/>
      <c r="C12" s="31" t="n"/>
      <c r="D12" s="14" t="n"/>
      <c r="E12" s="14" t="n"/>
      <c r="F12" s="14" t="n"/>
      <c r="G12" s="14" t="n"/>
      <c r="H12" s="31" t="n"/>
    </row>
    <row r="13" ht="24" customHeight="1">
      <c r="B13" s="31" t="n"/>
      <c r="C13" s="31" t="n"/>
      <c r="D13" s="14" t="n"/>
      <c r="E13" s="14" t="n"/>
      <c r="F13" s="14" t="n"/>
      <c r="G13" s="14" t="n"/>
      <c r="H13" s="31" t="n"/>
    </row>
    <row r="14" ht="24" customHeight="1">
      <c r="B14" s="31" t="n"/>
      <c r="C14" s="31" t="n"/>
      <c r="D14" s="14" t="n"/>
      <c r="E14" s="14" t="n"/>
      <c r="F14" s="14" t="n"/>
      <c r="G14" s="14" t="n"/>
      <c r="H14" s="31" t="n"/>
    </row>
    <row r="15" ht="24" customHeight="1">
      <c r="B15" s="31" t="n"/>
      <c r="C15" s="31" t="n"/>
      <c r="D15" s="14" t="n"/>
      <c r="E15" s="14" t="n"/>
      <c r="F15" s="14" t="n"/>
      <c r="G15" s="14" t="n"/>
      <c r="H15" s="31" t="n"/>
    </row>
    <row r="16" ht="24" customHeight="1">
      <c r="B16" s="31" t="n"/>
      <c r="C16" s="31" t="n"/>
      <c r="D16" s="14" t="n"/>
      <c r="E16" s="14" t="n"/>
      <c r="F16" s="14" t="n"/>
      <c r="G16" s="14" t="n"/>
      <c r="H16" s="31" t="n"/>
    </row>
    <row r="17" ht="24" customHeight="1">
      <c r="B17" s="31" t="n"/>
      <c r="C17" s="31" t="n"/>
      <c r="D17" s="14" t="n"/>
      <c r="E17" s="14" t="n"/>
      <c r="F17" s="14" t="n"/>
      <c r="G17" s="14" t="n"/>
      <c r="H17" s="31" t="n"/>
    </row>
    <row r="18" ht="24" customHeight="1">
      <c r="B18" s="31" t="n"/>
      <c r="C18" s="31" t="n"/>
      <c r="D18" s="14" t="n"/>
      <c r="E18" s="14" t="n"/>
      <c r="F18" s="14" t="n"/>
      <c r="G18" s="14" t="n"/>
      <c r="H18" s="31" t="n"/>
    </row>
    <row r="19" ht="24" customHeight="1">
      <c r="B19" s="31" t="n"/>
      <c r="C19" s="31" t="n"/>
      <c r="D19" s="14" t="n"/>
      <c r="E19" s="14" t="n"/>
      <c r="F19" s="14" t="n"/>
      <c r="G19" s="14" t="n"/>
      <c r="H19" s="31" t="n"/>
    </row>
    <row r="20" ht="24" customHeight="1">
      <c r="B20" s="31" t="n"/>
      <c r="C20" s="31" t="n"/>
      <c r="D20" s="14" t="n"/>
      <c r="E20" s="14" t="n"/>
      <c r="F20" s="14" t="n"/>
      <c r="G20" s="14" t="n"/>
      <c r="H20" s="31" t="n"/>
    </row>
    <row r="21" ht="24" customHeight="1">
      <c r="B21" s="31" t="n"/>
      <c r="C21" s="31" t="n"/>
      <c r="D21" s="14" t="n"/>
      <c r="E21" s="14" t="n"/>
      <c r="F21" s="14" t="n"/>
      <c r="G21" s="14" t="n"/>
      <c r="H21" s="31" t="n"/>
    </row>
    <row r="22" ht="24" customHeight="1">
      <c r="B22" s="31" t="n"/>
      <c r="C22" s="31" t="n"/>
      <c r="D22" s="14" t="n"/>
      <c r="E22" s="14" t="n"/>
      <c r="F22" s="14" t="n"/>
      <c r="G22" s="14" t="n"/>
      <c r="H22" s="31" t="n"/>
    </row>
    <row r="23" ht="24" customHeight="1">
      <c r="B23" s="31" t="n"/>
      <c r="C23" s="31" t="n"/>
      <c r="D23" s="14" t="n"/>
      <c r="E23" s="14" t="n"/>
      <c r="F23" s="14" t="n"/>
      <c r="G23" s="14" t="n"/>
      <c r="H23" s="31" t="n"/>
    </row>
    <row r="24" ht="24" customHeight="1">
      <c r="B24" s="31" t="n"/>
      <c r="C24" s="31" t="n"/>
      <c r="D24" s="14" t="n"/>
      <c r="E24" s="14" t="n"/>
      <c r="F24" s="14" t="n"/>
      <c r="G24" s="14" t="n"/>
      <c r="H24" s="31" t="n"/>
    </row>
    <row r="25" ht="24" customHeight="1">
      <c r="B25" s="31" t="n"/>
      <c r="C25" s="31" t="n"/>
      <c r="D25" s="14" t="n"/>
      <c r="E25" s="14" t="n"/>
      <c r="F25" s="14" t="n"/>
      <c r="G25" s="14" t="n"/>
      <c r="H25" s="31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3" t="inlineStr">
        <is>
          <t>Assumption</t>
        </is>
      </c>
      <c r="C4" s="13" t="inlineStr">
        <is>
          <t>Value</t>
        </is>
      </c>
      <c r="D4" s="13" t="inlineStr">
        <is>
          <t>Unit</t>
        </is>
      </c>
      <c r="E4" s="13" t="inlineStr">
        <is>
          <t>Why it matters</t>
        </is>
      </c>
    </row>
    <row r="5" ht="24" customHeight="1">
      <c r="B5" s="27" t="inlineStr">
        <is>
          <t>Reporting currency</t>
        </is>
      </c>
      <c r="C5" s="17" t="inlineStr">
        <is>
          <t>AED</t>
        </is>
      </c>
      <c r="D5" s="20" t="inlineStr">
        <is>
          <t>AED</t>
        </is>
      </c>
      <c r="E5" s="31" t="inlineStr">
        <is>
          <t>Replace 'AED' with your reporting currency (USD, EUR, GBP, etc.).</t>
        </is>
      </c>
    </row>
    <row r="6" ht="24" customHeight="1">
      <c r="B6" s="27" t="inlineStr">
        <is>
          <t>Gross margin</t>
        </is>
      </c>
      <c r="C6" s="40" t="n">
        <v>0.68</v>
      </c>
      <c r="D6" s="20" t="inlineStr">
        <is>
          <t>%</t>
        </is>
      </c>
      <c r="E6" s="31" t="inlineStr">
        <is>
          <t>Drives gross profit and contribution ROI.</t>
        </is>
      </c>
    </row>
    <row r="7" ht="24" customHeight="1">
      <c r="B7" s="27" t="inlineStr">
        <is>
          <t>Avg days between repeat visit</t>
        </is>
      </c>
      <c r="C7" s="44" t="n">
        <v>42</v>
      </c>
      <c r="D7" s="20" t="inlineStr">
        <is>
          <t>Days</t>
        </is>
      </c>
      <c r="E7" s="31" t="inlineStr">
        <is>
          <t>Used in payback math.</t>
        </is>
      </c>
    </row>
    <row r="8" ht="24" customHeight="1">
      <c r="B8" s="27" t="inlineStr">
        <is>
          <t>Blended CAC ceiling</t>
        </is>
      </c>
      <c r="C8" s="17" t="n">
        <v>65</v>
      </c>
      <c r="D8" s="20" t="inlineStr">
        <is>
          <t>AED</t>
        </is>
      </c>
      <c r="E8" s="31" t="inlineStr">
        <is>
          <t>Above this — acquisition is unsustainable.</t>
        </is>
      </c>
    </row>
    <row r="9" ht="24" customHeight="1">
      <c r="B9" s="27" t="inlineStr">
        <is>
          <t>Contribution ROI floor</t>
        </is>
      </c>
      <c r="C9" s="40" t="n">
        <v>0.15</v>
      </c>
      <c r="D9" s="20" t="inlineStr">
        <is>
          <t>%</t>
        </is>
      </c>
      <c r="E9" s="31" t="inlineStr">
        <is>
          <t>Below this — cut the campaign.</t>
        </is>
      </c>
    </row>
    <row r="10" ht="24" customHeight="1">
      <c r="B10" s="27" t="inlineStr">
        <is>
          <t>First-time share of conversions</t>
        </is>
      </c>
      <c r="C10" s="40" t="n">
        <v>0.85</v>
      </c>
      <c r="D10" s="20" t="inlineStr">
        <is>
          <t>%</t>
        </is>
      </c>
      <c r="E10" s="31" t="inlineStr">
        <is>
          <t>What share of conversions are net-new customers.</t>
        </is>
      </c>
    </row>
    <row r="11" ht="24" customHeight="1">
      <c r="B11" s="27" t="inlineStr">
        <is>
          <t>Visits per customer per year</t>
        </is>
      </c>
      <c r="C11" s="44" t="n">
        <v>6</v>
      </c>
      <c r="D11" s="20" t="inlineStr">
        <is>
          <t>Visits</t>
        </is>
      </c>
      <c r="E11" s="31" t="inlineStr">
        <is>
          <t>Used in LTV math.</t>
        </is>
      </c>
    </row>
    <row r="12" ht="24" customHeight="1">
      <c r="B12" s="27" t="inlineStr">
        <is>
          <t>Customer lifespan (years)</t>
        </is>
      </c>
      <c r="C12" s="17" t="n">
        <v>2</v>
      </c>
      <c r="D12" s="20" t="inlineStr">
        <is>
          <t>Years</t>
        </is>
      </c>
      <c r="E12" s="31" t="inlineStr">
        <is>
          <t>Used in LTV math.</t>
        </is>
      </c>
    </row>
    <row r="13" ht="24" customHeight="1">
      <c r="B13" s="27" t="inlineStr">
        <is>
          <t>LTV / CAC target ratio</t>
        </is>
      </c>
      <c r="C13" s="41" t="n">
        <v>3</v>
      </c>
      <c r="D13" s="20" t="inlineStr">
        <is>
          <t>x</t>
        </is>
      </c>
      <c r="E13" s="31" t="inlineStr">
        <is>
          <t>Industry-standard healthy ratio is 3× or better.</t>
        </is>
      </c>
    </row>
    <row r="14" ht="24" customHeight="1">
      <c r="B14" s="27" t="inlineStr">
        <is>
          <t>Blended ROAS floor</t>
        </is>
      </c>
      <c r="C14" s="41" t="n">
        <v>2.5</v>
      </c>
      <c r="D14" s="20" t="inlineStr">
        <is>
          <t>x</t>
        </is>
      </c>
      <c r="E14" s="31" t="inlineStr">
        <is>
          <t>Blended ROAS must stay above this.</t>
        </is>
      </c>
    </row>
    <row r="15" ht="24" customHeight="1">
      <c r="B15" s="27" t="inlineStr">
        <is>
          <t>Payback ceiling (days)</t>
        </is>
      </c>
      <c r="C15" s="44" t="n">
        <v>60</v>
      </c>
      <c r="D15" s="20" t="inlineStr">
        <is>
          <t>Days</t>
        </is>
      </c>
      <c r="E15" s="31" t="inlineStr">
        <is>
          <t>Above this — too slow to scale.</t>
        </is>
      </c>
    </row>
    <row r="16" ht="24" customHeight="1">
      <c r="B16" s="27" t="inlineStr">
        <is>
          <t>Audit pass threshold</t>
        </is>
      </c>
      <c r="C16" s="40" t="n">
        <v>0.85</v>
      </c>
      <c r="D16" s="20" t="inlineStr">
        <is>
          <t>%</t>
        </is>
      </c>
      <c r="E16" s="31" t="inlineStr">
        <is>
          <t>Share of audit checks needed for sign-off.</t>
        </is>
      </c>
    </row>
    <row r="17" ht="24" customHeight="1">
      <c r="B17" s="27" t="inlineStr">
        <is>
          <t>Attribution model</t>
        </is>
      </c>
      <c r="C17" s="17" t="inlineStr">
        <is>
          <t>Last touch (POS-tagged)</t>
        </is>
      </c>
      <c r="D17" s="20" t="inlineStr">
        <is>
          <t>Model</t>
        </is>
      </c>
      <c r="E17" s="31" t="inlineStr">
        <is>
          <t>Documented for reviewers.</t>
        </is>
      </c>
    </row>
    <row r="18" ht="24" customHeight="1">
      <c r="B18" s="27" t="inlineStr">
        <is>
          <t>Reporting period</t>
        </is>
      </c>
      <c r="C18" s="17" t="inlineStr">
        <is>
          <t>Trailing 90 days</t>
        </is>
      </c>
      <c r="D18" s="20" t="inlineStr">
        <is>
          <t>Period</t>
        </is>
      </c>
      <c r="E18" s="31" t="inlineStr">
        <is>
          <t>Window the campaign data covers.</t>
        </is>
      </c>
    </row>
    <row r="20" ht="22" customHeight="1">
      <c r="A20" s="4" t="inlineStr">
        <is>
          <t>HOW TO READ THIS TAB</t>
        </is>
      </c>
    </row>
    <row r="21">
      <c r="B21" s="42" t="inlineStr">
        <is>
          <t>Blue cells are inputs you edit. Every other cell on this tab is a fixed reference. Change one driver here and the whole workbook recalculates — that is the point of this tab.</t>
        </is>
      </c>
    </row>
    <row r="22"/>
    <row r="24" ht="22" customHeight="1">
      <c r="A24" s="4" t="inlineStr">
        <is>
          <t>CELL COLOUR LEGEND</t>
        </is>
      </c>
    </row>
    <row r="25" ht="22" customHeight="1">
      <c r="B25" s="45" t="inlineStr">
        <is>
          <t xml:space="preserve">  INPUT  </t>
        </is>
      </c>
      <c r="D25" s="46" t="inlineStr">
        <is>
          <t xml:space="preserve">  CALCULATED  </t>
        </is>
      </c>
      <c r="F25" s="47" t="inlineStr">
        <is>
          <t xml:space="preserve">  LOCKED / REFERENCE  </t>
        </is>
      </c>
      <c r="H25" s="48" t="inlineStr">
        <is>
          <t xml:space="preserve">  OK / GOOD  </t>
        </is>
      </c>
      <c r="J25" s="49" t="inlineStr">
        <is>
          <t xml:space="preserve">  WATCH  </t>
        </is>
      </c>
      <c r="L25" s="50" t="inlineStr">
        <is>
          <t xml:space="preserve">  CRITICAL  </t>
        </is>
      </c>
    </row>
  </sheetData>
  <mergeCells count="5">
    <mergeCell ref="A20:N20"/>
    <mergeCell ref="A24:N24"/>
    <mergeCell ref="A2:N2"/>
    <mergeCell ref="B21:E22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3" t="inlineStr">
        <is>
          <t>Metric / Term</t>
        </is>
      </c>
      <c r="C5" s="13" t="inlineStr">
        <is>
          <t>Definition</t>
        </is>
      </c>
      <c r="D5" s="13" t="inlineStr">
        <is>
          <t>Formula / source</t>
        </is>
      </c>
    </row>
    <row r="6" ht="36" customHeight="1">
      <c r="B6" s="51" t="inlineStr">
        <is>
          <t>CAC</t>
        </is>
      </c>
      <c r="C6" s="52" t="inlineStr">
        <is>
          <t>Marketing cost ÷ new customers acquired.</t>
        </is>
      </c>
      <c r="D6" s="52" t="inlineStr">
        <is>
          <t>Per-row: Spend / (Conversions × First-time share)</t>
        </is>
      </c>
    </row>
    <row r="7" ht="36" customHeight="1">
      <c r="B7" s="51" t="inlineStr">
        <is>
          <t>ROAS</t>
        </is>
      </c>
      <c r="C7" s="52" t="inlineStr">
        <is>
          <t>Revenue ÷ ad spend.</t>
        </is>
      </c>
      <c r="D7" s="52" t="inlineStr">
        <is>
          <t>Per-row: (Conversions × AOV) / Spend</t>
        </is>
      </c>
    </row>
    <row r="8" ht="36" customHeight="1">
      <c r="B8" s="51" t="inlineStr">
        <is>
          <t>Contribution-margin ROI</t>
        </is>
      </c>
      <c r="C8" s="52" t="inlineStr">
        <is>
          <t>(Revenue × gross margin − spend) ÷ spend. Profit per spend.</t>
        </is>
      </c>
      <c r="D8" s="52" t="inlineStr">
        <is>
          <t>Calc column M</t>
        </is>
      </c>
    </row>
    <row r="9" ht="36" customHeight="1">
      <c r="B9" s="51" t="inlineStr">
        <is>
          <t>Payback (days)</t>
        </is>
      </c>
      <c r="C9" s="52" t="inlineStr">
        <is>
          <t>Time to earn back CAC from gross profit per visit, given visit cadence.</t>
        </is>
      </c>
      <c r="D9" s="52" t="inlineStr">
        <is>
          <t>CAC / (AOV × margin) × days between repeat</t>
        </is>
      </c>
    </row>
    <row r="10" ht="36" customHeight="1">
      <c r="B10" s="51" t="inlineStr">
        <is>
          <t>LTV</t>
        </is>
      </c>
      <c r="C10" s="52" t="inlineStr">
        <is>
          <t>Lifetime gross profit a customer is expected to generate.</t>
        </is>
      </c>
      <c r="D10" s="52" t="inlineStr">
        <is>
          <t>AOV × visits/year × lifespan × gross margin</t>
        </is>
      </c>
    </row>
    <row r="11" ht="36" customHeight="1">
      <c r="B11" s="51" t="inlineStr">
        <is>
          <t>LTV / CAC</t>
        </is>
      </c>
      <c r="C11" s="52" t="inlineStr">
        <is>
          <t>Healthy benchmark is 3× or better.</t>
        </is>
      </c>
      <c r="D11" s="52" t="inlineStr">
        <is>
          <t>LTV ÷ blended CAC</t>
        </is>
      </c>
    </row>
    <row r="12" ht="36" customHeight="1">
      <c r="B12" s="51" t="inlineStr">
        <is>
          <t>AOV</t>
        </is>
      </c>
      <c r="C12" s="52" t="inlineStr">
        <is>
          <t>Average order value.</t>
        </is>
      </c>
      <c r="D12" s="52" t="inlineStr">
        <is>
          <t>Inputs</t>
        </is>
      </c>
    </row>
    <row r="13" ht="36" customHeight="1">
      <c r="B13" s="51" t="inlineStr">
        <is>
          <t>CTR</t>
        </is>
      </c>
      <c r="C13" s="52" t="inlineStr">
        <is>
          <t>Clicks ÷ impressions.</t>
        </is>
      </c>
      <c r="D13" s="52" t="inlineStr">
        <is>
          <t>Calc</t>
        </is>
      </c>
    </row>
    <row r="14" ht="36" customHeight="1">
      <c r="B14" s="51" t="inlineStr">
        <is>
          <t>CVR</t>
        </is>
      </c>
      <c r="C14" s="52" t="inlineStr">
        <is>
          <t>Conversions ÷ clicks.</t>
        </is>
      </c>
      <c r="D14" s="52" t="inlineStr">
        <is>
          <t>Calc</t>
        </is>
      </c>
    </row>
    <row r="15" ht="36" customHeight="1">
      <c r="B15" s="51" t="inlineStr">
        <is>
          <t>Marketing margin</t>
        </is>
      </c>
      <c r="C15" s="52" t="inlineStr">
        <is>
          <t>Gross profit minus marketing spend.</t>
        </is>
      </c>
      <c r="D15" s="52" t="inlineStr">
        <is>
          <t>Per-row: Gross profit − Spend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Marketing ROI Calculator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53" t="inlineStr">
        <is>
          <t>A campaign-level ROI and profitability model. For every campaign, the workbook computes spend → revenue → CAC → payback → contribution-margin ROI, with channel rollup, LTV/CAC ratio, an automatic kill list of unprofitable campaigns, and a 2-D sensitivity heatmap on AOV × gross margin. Built to defend marketing investment to a finance committee or investor.</t>
        </is>
      </c>
    </row>
    <row r="7" ht="22" customHeight="1">
      <c r="A7" s="4" t="inlineStr">
        <is>
          <t>BIG QUESTIONS THIS ANSWERS</t>
        </is>
      </c>
    </row>
    <row r="8" ht="22" customHeight="1">
      <c r="B8" s="43" t="inlineStr">
        <is>
          <t>•</t>
        </is>
      </c>
      <c r="C8" s="12" t="inlineStr">
        <is>
          <t>Is each campaign earning back what it costs — after gross margin?</t>
        </is>
      </c>
    </row>
    <row r="9" ht="22" customHeight="1">
      <c r="B9" s="43" t="inlineStr">
        <is>
          <t>•</t>
        </is>
      </c>
      <c r="C9" s="12" t="inlineStr">
        <is>
          <t>Where is CAC unsustainable vs lifetime value?</t>
        </is>
      </c>
    </row>
    <row r="10" ht="22" customHeight="1">
      <c r="B10" s="43" t="inlineStr">
        <is>
          <t>•</t>
        </is>
      </c>
      <c r="C10" s="12" t="inlineStr">
        <is>
          <t>Which channels deliver the strongest blended ROI?</t>
        </is>
      </c>
    </row>
    <row r="11" ht="22" customHeight="1">
      <c r="B11" s="43" t="inlineStr">
        <is>
          <t>•</t>
        </is>
      </c>
      <c r="C11" s="12" t="inlineStr">
        <is>
          <t>How long does it take to pay back a new customer?</t>
        </is>
      </c>
    </row>
    <row r="12" ht="22" customHeight="1">
      <c r="B12" s="43" t="inlineStr">
        <is>
          <t>•</t>
        </is>
      </c>
      <c r="C12" s="12" t="inlineStr">
        <is>
          <t>If margin or AOV move, where does ROI stop being viable?</t>
        </is>
      </c>
    </row>
    <row r="13" ht="22" customHeight="1">
      <c r="B13" s="43" t="inlineStr">
        <is>
          <t>•</t>
        </is>
      </c>
      <c r="C13" s="12" t="inlineStr">
        <is>
          <t>Which campaigns belong on a kill list right now?</t>
        </is>
      </c>
    </row>
    <row r="15" ht="22" customHeight="1">
      <c r="A15" s="4" t="inlineStr">
        <is>
          <t>WORKBOOK MAP</t>
        </is>
      </c>
    </row>
    <row r="16" ht="22" customHeight="1">
      <c r="B16" s="13" t="inlineStr">
        <is>
          <t>Tab</t>
        </is>
      </c>
      <c r="C16" s="13" t="inlineStr">
        <is>
          <t>What it's for</t>
        </is>
      </c>
    </row>
    <row r="17" ht="32" customHeight="1">
      <c r="B17" s="27" t="inlineStr">
        <is>
          <t>Dashboard</t>
        </is>
      </c>
      <c r="C17" s="54" t="inlineStr">
        <is>
          <t>Headline KPIs, channel ROAS, contribution ROI ranking, LTV/CAC, callouts.</t>
        </is>
      </c>
    </row>
    <row r="18" ht="32" customHeight="1">
      <c r="B18" s="27" t="inlineStr">
        <is>
          <t>Inputs</t>
        </is>
      </c>
      <c r="C18" s="54" t="inlineStr">
        <is>
          <t>One row per campaign — spend, impressions, clicks, conversions, AOV.</t>
        </is>
      </c>
    </row>
    <row r="19" ht="32" customHeight="1">
      <c r="B19" s="27" t="inlineStr">
        <is>
          <t>Calc</t>
        </is>
      </c>
      <c r="C19" s="54" t="inlineStr">
        <is>
          <t>Per-row economics, channel rollup, LTV/CAC table, kill list, 2-D sensitivity.</t>
        </is>
      </c>
    </row>
    <row r="20" ht="32" customHeight="1">
      <c r="B20" s="27" t="inlineStr">
        <is>
          <t>Checks</t>
        </is>
      </c>
      <c r="C20" s="54" t="inlineStr">
        <is>
          <t>Floors, ceilings, attribution sanity gates, audit pass score.</t>
        </is>
      </c>
    </row>
    <row r="21" ht="32" customHeight="1">
      <c r="B21" s="27" t="inlineStr">
        <is>
          <t>Scenarios</t>
        </is>
      </c>
      <c r="C21" s="54" t="inlineStr">
        <is>
          <t>Margin, AOV, conversion-rate, repeat sensitivity.</t>
        </is>
      </c>
    </row>
    <row r="22" ht="32" customHeight="1">
      <c r="B22" s="27" t="inlineStr">
        <is>
          <t>Action_Plan</t>
        </is>
      </c>
      <c r="C22" s="54" t="inlineStr">
        <is>
          <t>Where to deploy next, where to cut.</t>
        </is>
      </c>
    </row>
    <row r="23" ht="32" customHeight="1">
      <c r="B23" s="27" t="inlineStr">
        <is>
          <t>Assumptions</t>
        </is>
      </c>
      <c r="C23" s="54" t="inlineStr">
        <is>
          <t>Currency, margin, payback assumption, CAC ceiling, LTV inputs.</t>
        </is>
      </c>
    </row>
    <row r="24" ht="32" customHeight="1">
      <c r="B24" s="27" t="inlineStr">
        <is>
          <t>Definitions</t>
        </is>
      </c>
      <c r="C24" s="54" t="inlineStr">
        <is>
          <t>Glossary of every metric used.</t>
        </is>
      </c>
    </row>
    <row r="25" ht="32" customHeight="1">
      <c r="B25" s="27" t="inlineStr">
        <is>
          <t>README</t>
        </is>
      </c>
      <c r="C25" s="54" t="inlineStr">
        <is>
          <t>How to use the workbook end-to-end.</t>
        </is>
      </c>
    </row>
    <row r="26" ht="32" customHeight="1">
      <c r="B26" s="27" t="inlineStr">
        <is>
          <t>Document_Control</t>
        </is>
      </c>
      <c r="C26" s="54" t="inlineStr">
        <is>
          <t>Author, version, reviewers, change log.</t>
        </is>
      </c>
    </row>
    <row r="28" ht="22" customHeight="1">
      <c r="A28" s="4" t="inlineStr">
        <is>
          <t>HOW TO USE</t>
        </is>
      </c>
    </row>
    <row r="29" ht="28" customHeight="1">
      <c r="B29" s="55" t="inlineStr">
        <is>
          <t>Step 1</t>
        </is>
      </c>
      <c r="C29" s="12" t="inlineStr">
        <is>
          <t>Set Assumptions first: currency, gross margin, days between repeat, ceilings, LTV inputs.</t>
        </is>
      </c>
    </row>
    <row r="30" ht="28" customHeight="1">
      <c r="B30" s="55" t="inlineStr">
        <is>
          <t>Step 2</t>
        </is>
      </c>
      <c r="C30" s="12" t="inlineStr">
        <is>
          <t>Fill Inputs with your real campaigns. Replace the sample rows.</t>
        </is>
      </c>
    </row>
    <row r="31" ht="28" customHeight="1">
      <c r="B31" s="55" t="inlineStr">
        <is>
          <t>Step 3</t>
        </is>
      </c>
      <c r="C31" s="12" t="inlineStr">
        <is>
          <t>Open Calc to see per-row economics, channel rollup, LTV/CAC, kill list, sensitivity.</t>
        </is>
      </c>
    </row>
    <row r="32" ht="28" customHeight="1">
      <c r="B32" s="55" t="inlineStr">
        <is>
          <t>Step 4</t>
        </is>
      </c>
      <c r="C32" s="12" t="inlineStr">
        <is>
          <t>Open Dashboard for headline KPIs and four management call-outs.</t>
        </is>
      </c>
    </row>
    <row r="33" ht="28" customHeight="1">
      <c r="B33" s="55" t="inlineStr">
        <is>
          <t>Step 5</t>
        </is>
      </c>
      <c r="C33" s="12" t="inlineStr">
        <is>
          <t>Resolve every REVIEW on the Checks tab before sign-off.</t>
        </is>
      </c>
    </row>
    <row r="35" ht="22" customHeight="1">
      <c r="A35" s="4" t="inlineStr">
        <is>
          <t>WHO THIS IS FOR</t>
        </is>
      </c>
    </row>
    <row r="36">
      <c r="B36" s="43" t="inlineStr">
        <is>
          <t>•</t>
        </is>
      </c>
      <c r="C36" s="12" t="inlineStr">
        <is>
          <t>Marketing leads who need to defend marketing ROI to finance.</t>
        </is>
      </c>
    </row>
    <row r="37">
      <c r="B37" s="43" t="inlineStr">
        <is>
          <t>•</t>
        </is>
      </c>
      <c r="C37" s="12" t="inlineStr">
        <is>
          <t>Founders and CEOs evaluating new growth bets.</t>
        </is>
      </c>
    </row>
    <row r="38">
      <c r="B38" s="43" t="inlineStr">
        <is>
          <t>•</t>
        </is>
      </c>
      <c r="C38" s="12" t="inlineStr">
        <is>
          <t>Performance marketers and agencies running campaigns.</t>
        </is>
      </c>
    </row>
    <row r="39">
      <c r="B39" s="43" t="inlineStr">
        <is>
          <t>•</t>
        </is>
      </c>
      <c r="C39" s="12" t="inlineStr">
        <is>
          <t>Investors stress-testing growth investment.</t>
        </is>
      </c>
    </row>
    <row r="40">
      <c r="B40" s="43" t="inlineStr">
        <is>
          <t>•</t>
        </is>
      </c>
      <c r="C40" s="12" t="inlineStr">
        <is>
          <t>Finance leads looking for a defensible spend → return view.</t>
        </is>
      </c>
    </row>
    <row r="42" ht="22" customHeight="1">
      <c r="A42" s="4" t="inlineStr">
        <is>
          <t>GOVERNANCE &amp; INTEGRITY</t>
        </is>
      </c>
    </row>
    <row r="43" ht="22" customHeight="1">
      <c r="B43" s="43" t="inlineStr">
        <is>
          <t>•</t>
        </is>
      </c>
      <c r="C43" s="12" t="inlineStr">
        <is>
          <t>Refresh Inputs at the close of each campaign.</t>
        </is>
      </c>
    </row>
    <row r="44" ht="22" customHeight="1">
      <c r="B44" s="43" t="inlineStr">
        <is>
          <t>•</t>
        </is>
      </c>
      <c r="C44" s="12" t="inlineStr">
        <is>
          <t>Blue cells are editable. Other cells contain formulas — do not overwrite.</t>
        </is>
      </c>
    </row>
    <row r="45" ht="22" customHeight="1">
      <c r="B45" s="43" t="inlineStr">
        <is>
          <t>•</t>
        </is>
      </c>
      <c r="C45" s="12" t="inlineStr">
        <is>
          <t>Document the attribution model in Assumptions; reviewers will ask.</t>
        </is>
      </c>
    </row>
    <row r="46" ht="22" customHeight="1">
      <c r="B46" s="43" t="inlineStr">
        <is>
          <t>•</t>
        </is>
      </c>
      <c r="C46" s="12" t="inlineStr">
        <is>
          <t>Sample rows are illustrative — replace before sharing externally.</t>
        </is>
      </c>
    </row>
  </sheetData>
  <mergeCells count="29">
    <mergeCell ref="C30:J30"/>
    <mergeCell ref="C33:J33"/>
    <mergeCell ref="A15:N15"/>
    <mergeCell ref="C45:J45"/>
    <mergeCell ref="A1:N1"/>
    <mergeCell ref="C29:J29"/>
    <mergeCell ref="C10:J10"/>
    <mergeCell ref="A7:N7"/>
    <mergeCell ref="C44:J44"/>
    <mergeCell ref="C31:J31"/>
    <mergeCell ref="C40:J40"/>
    <mergeCell ref="C9:J9"/>
    <mergeCell ref="C12:J12"/>
    <mergeCell ref="B5:J5"/>
    <mergeCell ref="C43:J43"/>
    <mergeCell ref="C11:J11"/>
    <mergeCell ref="A2:N2"/>
    <mergeCell ref="C46:J46"/>
    <mergeCell ref="C36:J36"/>
    <mergeCell ref="A42:N42"/>
    <mergeCell ref="C39:J39"/>
    <mergeCell ref="C8:J8"/>
    <mergeCell ref="A35:N35"/>
    <mergeCell ref="A4:N4"/>
    <mergeCell ref="C32:J32"/>
    <mergeCell ref="C38:J38"/>
    <mergeCell ref="C13:J13"/>
    <mergeCell ref="C37:J37"/>
    <mergeCell ref="A28:N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2026-05-14T19:30:19Z</dcterms:created>
  <dcterms:modified xmlns:dcterms="http://purl.org/dc/terms/" xmlns:xsi="http://www.w3.org/2001/XMLSchema-instance" xsi:type="dcterms:W3CDTF">2026-05-14T19:30:20Z</dcterms:modified>
</cp:coreProperties>
</file>